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5480" windowHeight="6060" firstSheet="1" activeTab="1"/>
  </bookViews>
  <sheets>
    <sheet name="Summary - to be hidden" sheetId="1" state="hidden" r:id="rId1"/>
    <sheet name="Community" sheetId="2" r:id="rId2"/>
    <sheet name="Corporate" sheetId="3" r:id="rId3"/>
    <sheet name="Development Services" sheetId="4" r:id="rId4"/>
    <sheet name="LDS" sheetId="5" r:id="rId5"/>
    <sheet name="2010-11 Prog" sheetId="6" r:id="rId6"/>
    <sheet name="5 yr Cap Programme" sheetId="7" r:id="rId7"/>
  </sheets>
  <definedNames>
    <definedName name="_xlnm.Print_Area" localSheetId="5">'2010-11 Prog'!$A:$IV</definedName>
    <definedName name="_xlnm.Print_Area" localSheetId="6">'5 yr Cap Programme'!$A$1:$O$17</definedName>
    <definedName name="_xlnm.Print_Area" localSheetId="1">'Community'!$A$1:$J$51</definedName>
    <definedName name="_xlnm.Print_Area" localSheetId="2">'Corporate'!$A$1:$J$25</definedName>
    <definedName name="_xlnm.Print_Area" localSheetId="3">'Development Services'!$A$1:$J$32</definedName>
    <definedName name="_xlnm.Print_Area" localSheetId="4">'LDS'!$A:$IV</definedName>
    <definedName name="_xlnm.Print_Titles" localSheetId="1">'Community'!$3:$11</definedName>
    <definedName name="_xlnm.Print_Titles" localSheetId="3">'Development Services'!$3:$11</definedName>
  </definedNames>
  <calcPr fullCalcOnLoad="1"/>
</workbook>
</file>

<file path=xl/sharedStrings.xml><?xml version="1.0" encoding="utf-8"?>
<sst xmlns="http://schemas.openxmlformats.org/spreadsheetml/2006/main" count="536" uniqueCount="205">
  <si>
    <t>Scheme</t>
  </si>
  <si>
    <t>Annual</t>
  </si>
  <si>
    <t>Agreed</t>
  </si>
  <si>
    <t>Revised</t>
  </si>
  <si>
    <t>Budget</t>
  </si>
  <si>
    <t>Expenditure</t>
  </si>
  <si>
    <t>Variance</t>
  </si>
  <si>
    <t>Potential</t>
  </si>
  <si>
    <t>Adjusted</t>
  </si>
  <si>
    <t xml:space="preserve">Carry </t>
  </si>
  <si>
    <t>to date</t>
  </si>
  <si>
    <t>Details of major variances</t>
  </si>
  <si>
    <t>2006/07</t>
  </si>
  <si>
    <t>Forwards</t>
  </si>
  <si>
    <t xml:space="preserve"> </t>
  </si>
  <si>
    <t>£</t>
  </si>
  <si>
    <t>Gateway - General Expenses</t>
  </si>
  <si>
    <t>Sheepmount Development</t>
  </si>
  <si>
    <t>Kingstown Industrial Estate</t>
  </si>
  <si>
    <t>Willowholme Industrial Estate</t>
  </si>
  <si>
    <t>Durranhill Industrial Estate</t>
  </si>
  <si>
    <t>Private Sector Grants</t>
  </si>
  <si>
    <t>Planned Major Repairs</t>
  </si>
  <si>
    <t>Vehicles, Plant &amp; Equipment</t>
  </si>
  <si>
    <t>GIS</t>
  </si>
  <si>
    <t>Document Image Processing</t>
  </si>
  <si>
    <t>City Wi Fi</t>
  </si>
  <si>
    <t>Talkin Tarn</t>
  </si>
  <si>
    <t>ODPM Private Sector Renewal</t>
  </si>
  <si>
    <t>Play Area Developments</t>
  </si>
  <si>
    <t>Renaissance Improvements</t>
  </si>
  <si>
    <t xml:space="preserve">Environmental Improvements </t>
  </si>
  <si>
    <t>Waste Minimisation</t>
  </si>
  <si>
    <t>Greystone Community Centre</t>
  </si>
  <si>
    <t>Chances Park</t>
  </si>
  <si>
    <t>Small Scale Community Projects</t>
  </si>
  <si>
    <t>TOTAL</t>
  </si>
  <si>
    <t>COMMUNITY SERVICES</t>
  </si>
  <si>
    <t>CORPORATE SERVICES</t>
  </si>
  <si>
    <t>DEVELOPMENT SERVICES</t>
  </si>
  <si>
    <t>Housing Strategy</t>
  </si>
  <si>
    <t>LEGAL &amp; DEMOCRATIC SERVICES</t>
  </si>
  <si>
    <t>Original</t>
  </si>
  <si>
    <t>Synthetic Football Pitch</t>
  </si>
  <si>
    <t>Ledger</t>
  </si>
  <si>
    <t>Code</t>
  </si>
  <si>
    <t>Carry</t>
  </si>
  <si>
    <t>c/fwds from</t>
  </si>
  <si>
    <t>2007/08</t>
  </si>
  <si>
    <t>Belah Community Centre</t>
  </si>
  <si>
    <t xml:space="preserve">Revised </t>
  </si>
  <si>
    <t xml:space="preserve">Capital </t>
  </si>
  <si>
    <t>Programme</t>
  </si>
  <si>
    <t>2009/10</t>
  </si>
  <si>
    <t>APPENDIX A1</t>
  </si>
  <si>
    <t>APPENDIX A2</t>
  </si>
  <si>
    <t>APPENDIX A3</t>
  </si>
  <si>
    <t>APPENDIX A4</t>
  </si>
  <si>
    <t>Continuing Schemes</t>
  </si>
  <si>
    <t>Flood</t>
  </si>
  <si>
    <t>APPENDIX B1</t>
  </si>
  <si>
    <t>APPENDIX B2</t>
  </si>
  <si>
    <t>Community Services</t>
  </si>
  <si>
    <t>Corporate Services</t>
  </si>
  <si>
    <t>Development Services</t>
  </si>
  <si>
    <t>Legal &amp; Democratic Services</t>
  </si>
  <si>
    <t>Castle Street Public Realm</t>
  </si>
  <si>
    <t>Customer Contact Centre</t>
  </si>
  <si>
    <t>IT Equipment</t>
  </si>
  <si>
    <t>Petteril Riverbank Protection Work</t>
  </si>
  <si>
    <t>Hammonds CCTV</t>
  </si>
  <si>
    <t>Caldew/City Centre Flood Defence</t>
  </si>
  <si>
    <t>Historic Quarter</t>
  </si>
  <si>
    <t>Kingmoor Nature Reserve</t>
  </si>
  <si>
    <t>from</t>
  </si>
  <si>
    <t>2010/11</t>
  </si>
  <si>
    <t>2011/12</t>
  </si>
  <si>
    <t>2012/13</t>
  </si>
  <si>
    <t>2013/14</t>
  </si>
  <si>
    <t>Sheepmount Drainage</t>
  </si>
  <si>
    <t>Raffles MUGA</t>
  </si>
  <si>
    <t>Energy Efficiency - Carbon Trust Initiative</t>
  </si>
  <si>
    <t>Eden Bridge Garden Restoration</t>
  </si>
  <si>
    <t>Lowry Hill Park</t>
  </si>
  <si>
    <t>Ghyll Bank Gypsy &amp; Traveller Site</t>
  </si>
  <si>
    <t>Current non-recurring commitments</t>
  </si>
  <si>
    <t>Environmental Enhancements</t>
  </si>
  <si>
    <t>Recurring commitments</t>
  </si>
  <si>
    <t>Planned Enhancements to Council Property</t>
  </si>
  <si>
    <t>CCTV</t>
  </si>
  <si>
    <t>New non-recurring commitments</t>
  </si>
  <si>
    <t>Ghyll Bank Gypsy and Travellers Site</t>
  </si>
  <si>
    <t>Heysham Park Play Area</t>
  </si>
  <si>
    <t>Private Sector Grants - Minor Works Grants</t>
  </si>
  <si>
    <t>Housing Strategy - Empty Homes</t>
  </si>
  <si>
    <t>Housing Strategy - Housing Provision</t>
  </si>
  <si>
    <t>Housing Strategy - Renovation Grants</t>
  </si>
  <si>
    <t>Disabled Facilities Grants</t>
  </si>
  <si>
    <t>Concessionary Fares</t>
  </si>
  <si>
    <t>- Housing Strategy</t>
  </si>
  <si>
    <t>- Private</t>
  </si>
  <si>
    <t>PROVISIONAL GENERAL FUND CAPITAL OUTTURN 2009/10</t>
  </si>
  <si>
    <t>Position as at 31 March 2010</t>
  </si>
  <si>
    <t>2010/11 CAPITAL PROGRAMME</t>
  </si>
  <si>
    <t>2011/12 to 2014/15 PROPOSED CAPITAL PROGRAMME</t>
  </si>
  <si>
    <t>2014/15</t>
  </si>
  <si>
    <t>2009/10 CAPITAL SUMMARY</t>
  </si>
  <si>
    <t>Vehicles and Plant</t>
  </si>
  <si>
    <t>MUGA Trinity Church</t>
  </si>
  <si>
    <t>ODPM - Making Space for Water</t>
  </si>
  <si>
    <t>Connect 2 Cycleway</t>
  </si>
  <si>
    <t>Roman Gateway</t>
  </si>
  <si>
    <t>ICT Shared Service</t>
  </si>
  <si>
    <t>Real IT System</t>
  </si>
  <si>
    <t>RBS Shared Service</t>
  </si>
  <si>
    <t>Capitalisation Redundancy Costs</t>
  </si>
  <si>
    <t>Resource Centre</t>
  </si>
  <si>
    <t>Sub Regional Employment Sites</t>
  </si>
  <si>
    <t>Housing Strategy - Decent Homes</t>
  </si>
  <si>
    <t>Womens Hostel Replacement</t>
  </si>
  <si>
    <t>Old Town Hall</t>
  </si>
  <si>
    <t>Centre of Excellence</t>
  </si>
  <si>
    <t>Housing Strategy - Minor Works grants</t>
  </si>
  <si>
    <t>Trinity Church MUGA</t>
  </si>
  <si>
    <t>Carbon Trust Energy Efficiency</t>
  </si>
  <si>
    <t>Brought</t>
  </si>
  <si>
    <t>Forward</t>
  </si>
  <si>
    <t>From</t>
  </si>
  <si>
    <t xml:space="preserve">£9,000 has been approved and committed to grants for works to be carried out at the year end. </t>
  </si>
  <si>
    <t>Approved commitment of grants is £48,000 with a number of ongoing applications. Carry forward of balance of budget required.</t>
  </si>
  <si>
    <t xml:space="preserve">These are discretionary grants with a couple that were approved prior to us stopping these grants. </t>
  </si>
  <si>
    <t>Projects completed under Housing part of this budget.</t>
  </si>
  <si>
    <t>Project completed and handed over. Monies required for final account - due in next 4 weeks.</t>
  </si>
  <si>
    <t>Awaiting confirmation from Diosese that ground is not consecrated before we can commence</t>
  </si>
  <si>
    <t>Work on some schemes completed and final account awaited.  Contracts for other schemes placed and due to start late June.</t>
  </si>
  <si>
    <t>Capital</t>
  </si>
  <si>
    <t>to</t>
  </si>
  <si>
    <t>Other</t>
  </si>
  <si>
    <t>Adjustments</t>
  </si>
  <si>
    <t>Consists of design overspend &amp; creditor list. 2010/11 budget will accommodate. Contract to be awarded in June and start in July 2010.</t>
  </si>
  <si>
    <t>This sum is in respect of a retention currently held back (on the advice of the County archaeologist) from the final stage payment due to Oxford Archaeology under the contract with them for completing the Millennium Scheme archaeological texts.</t>
  </si>
  <si>
    <t>Underspend is due to a delay in establishing the service.</t>
  </si>
  <si>
    <t>The overspend relates to the network renewal budget as the refurbishment of the 9th floor had not been previously budgeted for.</t>
  </si>
  <si>
    <t>Directorate</t>
  </si>
  <si>
    <t>Key:</t>
  </si>
  <si>
    <t>SD - Strategic Director</t>
  </si>
  <si>
    <t>CE - Community Engagement</t>
  </si>
  <si>
    <t>CE'sO - Chief Executive's Office</t>
  </si>
  <si>
    <t>ED - Economic Development</t>
  </si>
  <si>
    <t>LE - Local Environment</t>
  </si>
  <si>
    <t>R - Resources</t>
  </si>
  <si>
    <t xml:space="preserve">This consists of NWDA grant allocation within estimated 2009/10 spend figure.  The grant claim and associated expenditure was delayed by ecological constraints on start of substantive demolition works and discovery of unexpected asbestos in two of the buildings.   </t>
  </si>
  <si>
    <t>CE</t>
  </si>
  <si>
    <t>LE</t>
  </si>
  <si>
    <t>R</t>
  </si>
  <si>
    <t>ED</t>
  </si>
  <si>
    <t>SD</t>
  </si>
  <si>
    <t>Category</t>
  </si>
  <si>
    <t xml:space="preserve">of </t>
  </si>
  <si>
    <t>(Note 1)</t>
  </si>
  <si>
    <t>Note 1</t>
  </si>
  <si>
    <t>A - Committed expenditure (to be used for original purpose/externally funded)</t>
  </si>
  <si>
    <t>A</t>
  </si>
  <si>
    <t>B - New items of Expenditure</t>
  </si>
  <si>
    <t>A/B - Combination of committed expenditure and new items of expenditure</t>
  </si>
  <si>
    <t>-</t>
  </si>
  <si>
    <t>This budget was allocated from the £1.5million capital grant received in 2005/06 from the Office of the Deputy Prime Minister to be spent on capital works within the flood affected area.</t>
  </si>
  <si>
    <t>Carry forward covers the planned work still to be completed which was delayed due to equipment unavailability.</t>
  </si>
  <si>
    <t>Project complete.</t>
  </si>
  <si>
    <t>Construction phase completed early May and final account awaited.</t>
  </si>
  <si>
    <t>Budget used to improve WiFi coverage in Civic Centre.  Completed within budget.</t>
  </si>
  <si>
    <t>Asset Management System successfully installed and running.  Completed within budget.</t>
  </si>
  <si>
    <t>Part of the Shared Service Business Case.  Budget available in 2010/11 to fund the overspend in 2009/10.</t>
  </si>
  <si>
    <t>This relates to the charge from the Council's GIS supplier covering 2009-2011 which was under negotiation and not resolved until after 1 April 2010</t>
  </si>
  <si>
    <t>Project complete within budget.</t>
  </si>
  <si>
    <t>Project has been delayed by some minor design changes and is linked to the Connect 2 Cycleway scheme.</t>
  </si>
  <si>
    <t>Carry forward required to complete the installation of the connection links.</t>
  </si>
  <si>
    <t>Full project has been approved by Cumbria County Council and is expected to be completed by end of 2010/11.  Majority of budget reprofiled into 2010/11.</t>
  </si>
  <si>
    <t>External contributions received for this scheme.</t>
  </si>
  <si>
    <t>Project linked to the corporate wide review of Customer Services.</t>
  </si>
  <si>
    <t>The replacement of one vehicle has been postponed until 2010/11.</t>
  </si>
  <si>
    <t>Required work in 2009/10 completed.  Further budget available in 2010/11.</t>
  </si>
  <si>
    <t>Work to reconstruct part of Willowholme Road has been delayed due to work by other agencies requiring to be completed prior to commencement of the City Council work.</t>
  </si>
  <si>
    <t>Contract placed and equipment stored at Bousteads.  Anticipated start late May/early June.</t>
  </si>
  <si>
    <t>Budget underspent at year end.  Further work to be accommodated within 2010/11 budget.</t>
  </si>
  <si>
    <t>Project complete.  Funding being managed in conjunction with Community Association.</t>
  </si>
  <si>
    <t>Carry forward required to accommodate final account of contract.</t>
  </si>
  <si>
    <t>Installation of signage and boardwalks completed.</t>
  </si>
  <si>
    <t>This project spans a couple of financial years and the overspend relates to profiling between the years.  The budget in 2010/11 can accommodate this overspend.</t>
  </si>
  <si>
    <t xml:space="preserve">These grants are mandatory. Existing balance of budget committed to approved grants with works due to be carried out and invoiced for. </t>
  </si>
  <si>
    <t xml:space="preserve">Commitment to Extra Care scheme and choice based lettings. </t>
  </si>
  <si>
    <t>Redundancy costs in relation to Transformation transferred from the reserve..</t>
  </si>
  <si>
    <t>Project on hold pending creditor/debtor efficiency review. Will now commence in 2010/11.</t>
  </si>
  <si>
    <t>Housing Strategy - Affordable Housing</t>
  </si>
  <si>
    <t>Installation of CCTV Camera at Botcherby complete.</t>
  </si>
  <si>
    <t>Project completed.  Remaining budget required to accommodate project management required for an inspection to allow payment of the retention.</t>
  </si>
  <si>
    <t>(Committed)</t>
  </si>
  <si>
    <t>(New items)</t>
  </si>
  <si>
    <t>Total</t>
  </si>
  <si>
    <t>Delays in the proposed work to reconstruct Kingstown Broadway to a standard suitable for adoption.</t>
  </si>
  <si>
    <t xml:space="preserve">Funded from an earmarked reserve.  Transfer actioned at year end.  Contract awarded and works to commence in Spring 2010.  </t>
  </si>
  <si>
    <t>Expenditure fully committed and carry forwards required to complete works at the Old Town Hall (part of larger project), Civic Centre and DDA Accessibility Improvements.</t>
  </si>
  <si>
    <t>Budget relates to 2 schemes.  Renovation and renewal of the murals on Hardwicke Circus has been delayed by weather and requires carried forward to complete the scheme.  Additional funding still to be identified.  The other part of the budget provides match funding towards the implementation phase of the Urban Design Framework.</t>
  </si>
  <si>
    <t>£50,000 external funding received.  Overspend incorporated in larger project going fowrward.</t>
  </si>
  <si>
    <t>Expenditure fully committed and carry forward is required to complete work already started.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</si>
</sst>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
    <numFmt numFmtId="167" formatCode="&quot;Yes&quot;;&quot;Yes&quot;;&quot;No&quot;"/>
    <numFmt numFmtId="168" formatCode="&quot;True&quot;;&quot;True&quot;;&quot;False&quot;"/>
    <numFmt numFmtId="169" formatCode="&quot;On&quot;;&quot;On&quot;;&quot;Off&quot;"/>
    <numFmt numFmtId="170" formatCode="[$€-2]\ #,##0.00_);[Red]\([$€-2]\ #,##0.00\)"/>
  </numFmts>
  <fonts count="42">
    <font>
      <sz val="10"/>
      <name val="Arial"/>
      <family val="0"/>
    </font>
    <font>
      <b/>
      <u val="single"/>
      <sz val="12"/>
      <name val="Arial"/>
      <family val="2"/>
    </font>
    <font>
      <b/>
      <sz val="12"/>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9"/>
      <name val="Arial"/>
      <family val="2"/>
    </font>
    <font>
      <sz val="12"/>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0"/>
      <name val="Arial"/>
      <family val="2"/>
    </font>
    <font>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00999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thin"/>
      <top style="medium"/>
      <bottom style="medium"/>
    </border>
    <border>
      <left style="medium"/>
      <right style="thin"/>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medium"/>
      <bottom style="medium"/>
    </border>
    <border>
      <left style="thin"/>
      <right style="thin"/>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thin"/>
      <right style="medium"/>
      <top style="thin"/>
      <bottom style="thin"/>
    </border>
    <border>
      <left>
        <color indexed="63"/>
      </left>
      <right style="medium"/>
      <top style="medium"/>
      <bottom style="medium"/>
    </border>
    <border>
      <left style="thin"/>
      <right style="medium"/>
      <top style="thin"/>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0">
    <xf numFmtId="0" fontId="0" fillId="0" borderId="0" xfId="0" applyAlignment="1">
      <alignment/>
    </xf>
    <xf numFmtId="3" fontId="1" fillId="0" borderId="0" xfId="0" applyNumberFormat="1" applyFont="1" applyFill="1" applyBorder="1" applyAlignment="1">
      <alignment/>
    </xf>
    <xf numFmtId="164" fontId="2" fillId="0" borderId="0" xfId="0" applyNumberFormat="1" applyFont="1" applyFill="1" applyAlignment="1">
      <alignment/>
    </xf>
    <xf numFmtId="164" fontId="3" fillId="0" borderId="0" xfId="0" applyNumberFormat="1" applyFont="1" applyFill="1" applyAlignment="1">
      <alignment/>
    </xf>
    <xf numFmtId="0" fontId="2" fillId="0" borderId="0" xfId="0" applyFont="1" applyFill="1" applyAlignment="1">
      <alignment horizontal="right"/>
    </xf>
    <xf numFmtId="0" fontId="3" fillId="0" borderId="0" xfId="0" applyFont="1" applyFill="1" applyAlignment="1">
      <alignment/>
    </xf>
    <xf numFmtId="0" fontId="2" fillId="0" borderId="0" xfId="0" applyFont="1" applyFill="1" applyBorder="1" applyAlignment="1">
      <alignment horizontal="center"/>
    </xf>
    <xf numFmtId="164" fontId="2" fillId="0" borderId="10" xfId="0" applyNumberFormat="1" applyFont="1" applyFill="1" applyBorder="1" applyAlignment="1">
      <alignment horizontal="center"/>
    </xf>
    <xf numFmtId="164" fontId="2" fillId="0" borderId="10" xfId="0" applyNumberFormat="1" applyFont="1" applyFill="1" applyBorder="1" applyAlignment="1" quotePrefix="1">
      <alignment horizontal="center"/>
    </xf>
    <xf numFmtId="0" fontId="3" fillId="0" borderId="0" xfId="0" applyFont="1" applyFill="1" applyBorder="1" applyAlignment="1">
      <alignment/>
    </xf>
    <xf numFmtId="164" fontId="3" fillId="0" borderId="0" xfId="0" applyNumberFormat="1" applyFont="1" applyFill="1" applyBorder="1" applyAlignment="1">
      <alignment/>
    </xf>
    <xf numFmtId="0" fontId="2" fillId="0" borderId="11" xfId="0" applyFont="1" applyFill="1" applyBorder="1" applyAlignment="1">
      <alignment/>
    </xf>
    <xf numFmtId="0" fontId="2" fillId="0" borderId="0" xfId="0" applyFont="1" applyFill="1" applyBorder="1" applyAlignment="1">
      <alignment/>
    </xf>
    <xf numFmtId="0" fontId="3" fillId="0" borderId="0" xfId="0" applyFont="1" applyFill="1" applyAlignment="1">
      <alignment vertical="top"/>
    </xf>
    <xf numFmtId="164" fontId="3" fillId="0" borderId="0" xfId="0" applyNumberFormat="1" applyFont="1" applyFill="1" applyAlignment="1">
      <alignment vertical="top"/>
    </xf>
    <xf numFmtId="164" fontId="3" fillId="0" borderId="0" xfId="0" applyNumberFormat="1" applyFont="1" applyFill="1" applyBorder="1" applyAlignment="1">
      <alignment vertical="top"/>
    </xf>
    <xf numFmtId="0" fontId="3" fillId="0" borderId="0" xfId="0" applyFont="1" applyFill="1" applyBorder="1" applyAlignment="1">
      <alignment vertical="top"/>
    </xf>
    <xf numFmtId="164" fontId="1" fillId="0" borderId="0" xfId="0" applyNumberFormat="1" applyFont="1" applyFill="1" applyAlignment="1">
      <alignment/>
    </xf>
    <xf numFmtId="17" fontId="1" fillId="0" borderId="0" xfId="0" applyNumberFormat="1" applyFont="1" applyFill="1" applyAlignment="1" quotePrefix="1">
      <alignment horizontal="right"/>
    </xf>
    <xf numFmtId="164" fontId="2" fillId="0" borderId="12" xfId="0" applyNumberFormat="1" applyFont="1" applyFill="1" applyBorder="1" applyAlignment="1">
      <alignment horizontal="center"/>
    </xf>
    <xf numFmtId="164" fontId="2" fillId="0" borderId="13" xfId="0" applyNumberFormat="1" applyFont="1" applyFill="1" applyBorder="1" applyAlignment="1">
      <alignment horizontal="center"/>
    </xf>
    <xf numFmtId="164" fontId="2" fillId="0" borderId="14" xfId="0" applyNumberFormat="1" applyFont="1" applyFill="1" applyBorder="1" applyAlignment="1">
      <alignment horizontal="center"/>
    </xf>
    <xf numFmtId="164" fontId="2" fillId="0" borderId="15" xfId="0" applyNumberFormat="1" applyFont="1" applyFill="1" applyBorder="1" applyAlignment="1">
      <alignment horizontal="center"/>
    </xf>
    <xf numFmtId="164" fontId="2" fillId="0" borderId="16" xfId="0" applyNumberFormat="1" applyFont="1" applyFill="1" applyBorder="1" applyAlignment="1">
      <alignment horizontal="center"/>
    </xf>
    <xf numFmtId="164" fontId="2" fillId="0" borderId="15" xfId="0" applyNumberFormat="1" applyFont="1" applyFill="1" applyBorder="1" applyAlignment="1" quotePrefix="1">
      <alignment horizontal="center"/>
    </xf>
    <xf numFmtId="164" fontId="2" fillId="0" borderId="16" xfId="0" applyNumberFormat="1" applyFont="1" applyFill="1" applyBorder="1" applyAlignment="1" quotePrefix="1">
      <alignment horizontal="center"/>
    </xf>
    <xf numFmtId="164" fontId="2" fillId="0" borderId="0" xfId="0" applyNumberFormat="1" applyFont="1" applyFill="1" applyBorder="1" applyAlignment="1">
      <alignment horizontal="center"/>
    </xf>
    <xf numFmtId="164" fontId="2" fillId="0" borderId="0" xfId="0" applyNumberFormat="1" applyFont="1" applyFill="1" applyBorder="1" applyAlignment="1" quotePrefix="1">
      <alignment horizontal="center"/>
    </xf>
    <xf numFmtId="164" fontId="2" fillId="0" borderId="0" xfId="0" applyNumberFormat="1" applyFont="1" applyFill="1" applyBorder="1" applyAlignment="1">
      <alignment/>
    </xf>
    <xf numFmtId="164" fontId="2" fillId="0" borderId="17" xfId="0" applyNumberFormat="1" applyFont="1" applyFill="1" applyBorder="1" applyAlignment="1">
      <alignment horizontal="center"/>
    </xf>
    <xf numFmtId="164" fontId="2" fillId="0" borderId="18" xfId="0" applyNumberFormat="1" applyFont="1" applyFill="1" applyBorder="1" applyAlignment="1">
      <alignment horizontal="center"/>
    </xf>
    <xf numFmtId="164" fontId="2" fillId="0" borderId="19" xfId="0" applyNumberFormat="1"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164" fontId="2" fillId="0" borderId="0" xfId="0" applyNumberFormat="1" applyFont="1" applyFill="1" applyAlignment="1">
      <alignment horizontal="right"/>
    </xf>
    <xf numFmtId="164" fontId="3" fillId="0" borderId="0" xfId="0" applyNumberFormat="1" applyFont="1" applyBorder="1" applyAlignment="1">
      <alignment/>
    </xf>
    <xf numFmtId="164" fontId="3" fillId="33" borderId="0" xfId="0" applyNumberFormat="1" applyFont="1" applyFill="1" applyBorder="1" applyAlignment="1">
      <alignment/>
    </xf>
    <xf numFmtId="164" fontId="1" fillId="0" borderId="0" xfId="0" applyNumberFormat="1" applyFont="1" applyFill="1" applyBorder="1" applyAlignment="1">
      <alignment/>
    </xf>
    <xf numFmtId="164" fontId="2" fillId="0" borderId="22" xfId="0" applyNumberFormat="1" applyFont="1" applyFill="1" applyBorder="1" applyAlignment="1">
      <alignment/>
    </xf>
    <xf numFmtId="0" fontId="2" fillId="0" borderId="11" xfId="0" applyFont="1" applyFill="1" applyBorder="1" applyAlignment="1">
      <alignment vertical="top"/>
    </xf>
    <xf numFmtId="164" fontId="2" fillId="0" borderId="11" xfId="0" applyNumberFormat="1" applyFont="1" applyFill="1" applyBorder="1" applyAlignment="1">
      <alignment vertical="top"/>
    </xf>
    <xf numFmtId="164" fontId="2" fillId="0" borderId="11" xfId="0" applyNumberFormat="1" applyFont="1" applyFill="1" applyBorder="1" applyAlignment="1">
      <alignment/>
    </xf>
    <xf numFmtId="0" fontId="1" fillId="0" borderId="23" xfId="0" applyFont="1" applyFill="1" applyBorder="1" applyAlignment="1">
      <alignment/>
    </xf>
    <xf numFmtId="0" fontId="2" fillId="0" borderId="24" xfId="0" applyFont="1" applyFill="1" applyBorder="1" applyAlignment="1">
      <alignment/>
    </xf>
    <xf numFmtId="164" fontId="2" fillId="0" borderId="25" xfId="0" applyNumberFormat="1" applyFont="1" applyFill="1" applyBorder="1" applyAlignment="1">
      <alignment/>
    </xf>
    <xf numFmtId="164" fontId="2" fillId="0" borderId="26" xfId="0" applyNumberFormat="1" applyFont="1" applyFill="1" applyBorder="1" applyAlignment="1">
      <alignment/>
    </xf>
    <xf numFmtId="164" fontId="2" fillId="0" borderId="27" xfId="0" applyNumberFormat="1" applyFont="1" applyFill="1" applyBorder="1" applyAlignment="1">
      <alignment/>
    </xf>
    <xf numFmtId="0" fontId="3" fillId="0" borderId="28" xfId="0" applyFont="1" applyFill="1" applyBorder="1" applyAlignment="1">
      <alignment/>
    </xf>
    <xf numFmtId="164" fontId="3" fillId="0" borderId="17" xfId="0" applyNumberFormat="1" applyFont="1" applyFill="1" applyBorder="1" applyAlignment="1">
      <alignment/>
    </xf>
    <xf numFmtId="164" fontId="3" fillId="0" borderId="18" xfId="0" applyNumberFormat="1" applyFont="1" applyFill="1" applyBorder="1" applyAlignment="1">
      <alignment/>
    </xf>
    <xf numFmtId="164" fontId="2" fillId="0" borderId="24" xfId="0" applyNumberFormat="1" applyFont="1" applyFill="1" applyBorder="1" applyAlignment="1">
      <alignment/>
    </xf>
    <xf numFmtId="164" fontId="2" fillId="0" borderId="29" xfId="0" applyNumberFormat="1" applyFont="1" applyFill="1" applyBorder="1" applyAlignment="1">
      <alignment/>
    </xf>
    <xf numFmtId="164" fontId="3" fillId="0" borderId="19" xfId="0" applyNumberFormat="1" applyFont="1" applyFill="1" applyBorder="1" applyAlignment="1">
      <alignment/>
    </xf>
    <xf numFmtId="1" fontId="2" fillId="0" borderId="30" xfId="0" applyNumberFormat="1" applyFont="1" applyFill="1" applyBorder="1" applyAlignment="1">
      <alignment/>
    </xf>
    <xf numFmtId="164" fontId="2" fillId="0" borderId="31" xfId="0" applyNumberFormat="1" applyFont="1" applyFill="1" applyBorder="1" applyAlignment="1">
      <alignment/>
    </xf>
    <xf numFmtId="3" fontId="2" fillId="0" borderId="11" xfId="0" applyNumberFormat="1" applyFont="1" applyFill="1" applyBorder="1" applyAlignment="1">
      <alignment/>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3" fillId="0" borderId="0" xfId="0" applyFont="1" applyFill="1" applyAlignment="1">
      <alignment vertical="center"/>
    </xf>
    <xf numFmtId="164" fontId="3" fillId="0" borderId="32" xfId="0" applyNumberFormat="1" applyFont="1" applyFill="1" applyBorder="1" applyAlignment="1">
      <alignment vertical="center"/>
    </xf>
    <xf numFmtId="164" fontId="2" fillId="0" borderId="33" xfId="0" applyNumberFormat="1" applyFont="1" applyFill="1" applyBorder="1" applyAlignment="1">
      <alignment horizontal="center"/>
    </xf>
    <xf numFmtId="164" fontId="2" fillId="0" borderId="33" xfId="0" applyNumberFormat="1" applyFont="1" applyFill="1" applyBorder="1" applyAlignment="1" quotePrefix="1">
      <alignment horizontal="center"/>
    </xf>
    <xf numFmtId="0" fontId="3" fillId="0" borderId="11" xfId="0" applyFont="1" applyFill="1" applyBorder="1" applyAlignment="1">
      <alignment vertical="center"/>
    </xf>
    <xf numFmtId="164" fontId="3" fillId="0" borderId="11" xfId="0" applyNumberFormat="1" applyFont="1" applyFill="1" applyBorder="1" applyAlignment="1">
      <alignment vertical="center"/>
    </xf>
    <xf numFmtId="0" fontId="3" fillId="0" borderId="11" xfId="0" applyFont="1" applyFill="1" applyBorder="1" applyAlignment="1">
      <alignment vertical="center" wrapText="1"/>
    </xf>
    <xf numFmtId="0" fontId="3" fillId="0" borderId="34" xfId="0" applyFont="1" applyFill="1" applyBorder="1" applyAlignment="1">
      <alignment wrapText="1"/>
    </xf>
    <xf numFmtId="0" fontId="3" fillId="0" borderId="35" xfId="0" applyFont="1" applyFill="1" applyBorder="1" applyAlignment="1" quotePrefix="1">
      <alignment vertical="center" wrapText="1"/>
    </xf>
    <xf numFmtId="164" fontId="3" fillId="0" borderId="10" xfId="0" applyNumberFormat="1" applyFont="1" applyFill="1" applyBorder="1" applyAlignment="1">
      <alignment vertical="center"/>
    </xf>
    <xf numFmtId="164" fontId="2" fillId="0" borderId="10" xfId="0" applyNumberFormat="1" applyFont="1" applyFill="1" applyBorder="1" applyAlignment="1">
      <alignment vertical="top"/>
    </xf>
    <xf numFmtId="0" fontId="3" fillId="0" borderId="36" xfId="0" applyFont="1" applyFill="1" applyBorder="1" applyAlignment="1" quotePrefix="1">
      <alignment vertical="center" wrapText="1"/>
    </xf>
    <xf numFmtId="164" fontId="2" fillId="0" borderId="37" xfId="0" applyNumberFormat="1" applyFont="1" applyFill="1" applyBorder="1" applyAlignment="1">
      <alignment vertical="top"/>
    </xf>
    <xf numFmtId="0" fontId="3" fillId="0" borderId="37" xfId="0" applyFont="1" applyFill="1" applyBorder="1" applyAlignment="1">
      <alignment vertical="center"/>
    </xf>
    <xf numFmtId="164" fontId="3" fillId="0" borderId="37" xfId="0" applyNumberFormat="1" applyFont="1" applyFill="1" applyBorder="1" applyAlignment="1">
      <alignment vertical="center"/>
    </xf>
    <xf numFmtId="3" fontId="3" fillId="0" borderId="0" xfId="0" applyNumberFormat="1" applyFont="1" applyFill="1" applyBorder="1" applyAlignment="1">
      <alignment/>
    </xf>
    <xf numFmtId="3" fontId="3" fillId="0" borderId="0" xfId="0" applyNumberFormat="1" applyFont="1" applyBorder="1" applyAlignment="1">
      <alignment/>
    </xf>
    <xf numFmtId="164" fontId="3" fillId="0" borderId="38" xfId="0" applyNumberFormat="1" applyFont="1" applyFill="1" applyBorder="1" applyAlignment="1">
      <alignment vertical="center"/>
    </xf>
    <xf numFmtId="164" fontId="3" fillId="0" borderId="0" xfId="0" applyNumberFormat="1" applyFont="1" applyFill="1" applyAlignment="1">
      <alignment vertical="center"/>
    </xf>
    <xf numFmtId="164" fontId="3" fillId="0" borderId="39" xfId="0" applyNumberFormat="1" applyFont="1" applyFill="1" applyBorder="1" applyAlignment="1">
      <alignment vertical="center"/>
    </xf>
    <xf numFmtId="164" fontId="3" fillId="0" borderId="11" xfId="0" applyNumberFormat="1" applyFont="1" applyFill="1" applyBorder="1" applyAlignment="1">
      <alignment/>
    </xf>
    <xf numFmtId="0" fontId="3" fillId="0" borderId="40" xfId="0" applyFont="1" applyFill="1" applyBorder="1" applyAlignment="1">
      <alignment/>
    </xf>
    <xf numFmtId="164" fontId="3" fillId="0" borderId="41" xfId="0" applyNumberFormat="1" applyFont="1" applyFill="1" applyBorder="1" applyAlignment="1">
      <alignment/>
    </xf>
    <xf numFmtId="0" fontId="1" fillId="0" borderId="28" xfId="0" applyFont="1" applyFill="1" applyBorder="1" applyAlignment="1">
      <alignment/>
    </xf>
    <xf numFmtId="0" fontId="3" fillId="0" borderId="42" xfId="0" applyFont="1" applyFill="1" applyBorder="1" applyAlignment="1">
      <alignment/>
    </xf>
    <xf numFmtId="164" fontId="3" fillId="0" borderId="43" xfId="0" applyNumberFormat="1" applyFont="1" applyFill="1" applyBorder="1" applyAlignment="1">
      <alignment/>
    </xf>
    <xf numFmtId="164" fontId="3" fillId="0" borderId="32" xfId="0" applyNumberFormat="1" applyFont="1" applyFill="1" applyBorder="1" applyAlignment="1">
      <alignment/>
    </xf>
    <xf numFmtId="0" fontId="3" fillId="0" borderId="24" xfId="0" applyFont="1" applyFill="1" applyBorder="1" applyAlignment="1">
      <alignment/>
    </xf>
    <xf numFmtId="0" fontId="1" fillId="0" borderId="40" xfId="0" applyFont="1" applyFill="1" applyBorder="1" applyAlignment="1">
      <alignment/>
    </xf>
    <xf numFmtId="164" fontId="3" fillId="0" borderId="33" xfId="0" applyNumberFormat="1" applyFont="1" applyFill="1" applyBorder="1" applyAlignment="1">
      <alignment/>
    </xf>
    <xf numFmtId="164" fontId="3" fillId="0" borderId="15" xfId="0" applyNumberFormat="1" applyFont="1" applyFill="1" applyBorder="1" applyAlignment="1">
      <alignment/>
    </xf>
    <xf numFmtId="164" fontId="3" fillId="0" borderId="10" xfId="0" applyNumberFormat="1" applyFont="1" applyFill="1" applyBorder="1" applyAlignment="1">
      <alignment/>
    </xf>
    <xf numFmtId="164" fontId="2" fillId="0" borderId="33" xfId="0" applyNumberFormat="1" applyFont="1" applyFill="1" applyBorder="1" applyAlignment="1">
      <alignment/>
    </xf>
    <xf numFmtId="164" fontId="2" fillId="0" borderId="10" xfId="0" applyNumberFormat="1" applyFont="1" applyFill="1" applyBorder="1" applyAlignment="1">
      <alignment/>
    </xf>
    <xf numFmtId="164" fontId="3" fillId="0" borderId="44" xfId="0" applyNumberFormat="1" applyFont="1" applyFill="1" applyBorder="1" applyAlignment="1">
      <alignment/>
    </xf>
    <xf numFmtId="164" fontId="2" fillId="0" borderId="45" xfId="0" applyNumberFormat="1" applyFont="1" applyFill="1" applyBorder="1" applyAlignment="1">
      <alignment/>
    </xf>
    <xf numFmtId="164" fontId="3" fillId="0" borderId="46" xfId="0" applyNumberFormat="1" applyFont="1" applyFill="1" applyBorder="1" applyAlignment="1">
      <alignment/>
    </xf>
    <xf numFmtId="164" fontId="3" fillId="0" borderId="29" xfId="0" applyNumberFormat="1" applyFont="1" applyFill="1" applyBorder="1" applyAlignment="1">
      <alignment/>
    </xf>
    <xf numFmtId="164" fontId="3" fillId="0" borderId="16" xfId="0" applyNumberFormat="1" applyFont="1" applyFill="1" applyBorder="1" applyAlignment="1">
      <alignment/>
    </xf>
    <xf numFmtId="0" fontId="3" fillId="0" borderId="38" xfId="0" applyFont="1" applyFill="1" applyBorder="1" applyAlignment="1">
      <alignment/>
    </xf>
    <xf numFmtId="164" fontId="3" fillId="0" borderId="40" xfId="0" applyNumberFormat="1" applyFont="1" applyFill="1" applyBorder="1" applyAlignment="1">
      <alignment/>
    </xf>
    <xf numFmtId="0" fontId="3" fillId="0" borderId="40" xfId="0" applyFont="1" applyFill="1" applyBorder="1" applyAlignment="1">
      <alignment vertical="center" wrapText="1"/>
    </xf>
    <xf numFmtId="0" fontId="3" fillId="0" borderId="38" xfId="0" applyFont="1" applyFill="1" applyBorder="1" applyAlignment="1">
      <alignment vertical="center"/>
    </xf>
    <xf numFmtId="164" fontId="3" fillId="0" borderId="41" xfId="0" applyNumberFormat="1" applyFont="1" applyFill="1" applyBorder="1" applyAlignment="1">
      <alignment vertical="center"/>
    </xf>
    <xf numFmtId="164" fontId="3" fillId="0" borderId="44"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40" xfId="0" applyNumberFormat="1" applyFont="1" applyFill="1" applyBorder="1" applyAlignment="1">
      <alignment vertical="center"/>
    </xf>
    <xf numFmtId="1" fontId="3" fillId="0" borderId="38" xfId="0" applyNumberFormat="1" applyFont="1" applyFill="1" applyBorder="1" applyAlignment="1">
      <alignment/>
    </xf>
    <xf numFmtId="0" fontId="3" fillId="0" borderId="10" xfId="0" applyFont="1" applyFill="1" applyBorder="1" applyAlignment="1">
      <alignment wrapText="1"/>
    </xf>
    <xf numFmtId="3" fontId="3" fillId="0" borderId="11" xfId="0" applyNumberFormat="1" applyFont="1" applyFill="1" applyBorder="1" applyAlignment="1">
      <alignment vertical="center" wrapText="1"/>
    </xf>
    <xf numFmtId="0" fontId="3" fillId="0" borderId="37" xfId="0" applyFont="1" applyFill="1" applyBorder="1" applyAlignment="1">
      <alignment vertical="center" wrapText="1"/>
    </xf>
    <xf numFmtId="0" fontId="3" fillId="0" borderId="37" xfId="0" applyFont="1" applyFill="1" applyBorder="1" applyAlignment="1">
      <alignment wrapText="1"/>
    </xf>
    <xf numFmtId="3" fontId="3" fillId="0" borderId="37" xfId="0" applyNumberFormat="1" applyFont="1" applyFill="1" applyBorder="1" applyAlignment="1">
      <alignment vertical="center" wrapText="1"/>
    </xf>
    <xf numFmtId="3" fontId="3" fillId="0" borderId="11" xfId="0" applyNumberFormat="1" applyFont="1" applyFill="1" applyBorder="1" applyAlignment="1">
      <alignment wrapText="1"/>
    </xf>
    <xf numFmtId="164" fontId="3" fillId="0" borderId="28" xfId="0" applyNumberFormat="1" applyFont="1" applyFill="1" applyBorder="1" applyAlignment="1">
      <alignment/>
    </xf>
    <xf numFmtId="164" fontId="3" fillId="0" borderId="28" xfId="0" applyNumberFormat="1" applyFont="1" applyFill="1" applyBorder="1" applyAlignment="1">
      <alignment vertical="center"/>
    </xf>
    <xf numFmtId="2" fontId="3" fillId="0" borderId="11" xfId="0" applyNumberFormat="1" applyFont="1" applyFill="1" applyBorder="1" applyAlignment="1">
      <alignment vertical="center" wrapText="1"/>
    </xf>
    <xf numFmtId="0" fontId="0" fillId="0" borderId="0" xfId="0" applyFont="1" applyAlignment="1">
      <alignment horizontal="right"/>
    </xf>
    <xf numFmtId="0" fontId="0" fillId="0" borderId="0" xfId="0" applyAlignment="1">
      <alignment horizontal="right"/>
    </xf>
    <xf numFmtId="164" fontId="0" fillId="0" borderId="0" xfId="0" applyNumberFormat="1" applyFont="1" applyFill="1" applyAlignment="1">
      <alignment/>
    </xf>
    <xf numFmtId="0" fontId="0" fillId="0" borderId="0" xfId="0" applyFont="1" applyAlignment="1">
      <alignment horizontal="left"/>
    </xf>
    <xf numFmtId="164" fontId="0" fillId="0" borderId="0" xfId="0" applyNumberFormat="1" applyFont="1" applyFill="1" applyAlignment="1">
      <alignment horizontal="left"/>
    </xf>
    <xf numFmtId="3" fontId="2" fillId="0" borderId="0" xfId="0" applyNumberFormat="1" applyFont="1" applyFill="1" applyBorder="1" applyAlignment="1">
      <alignment/>
    </xf>
    <xf numFmtId="0" fontId="1" fillId="0" borderId="0" xfId="0" applyFont="1" applyFill="1" applyAlignment="1">
      <alignment/>
    </xf>
    <xf numFmtId="0" fontId="3" fillId="0" borderId="0" xfId="0" applyFont="1" applyFill="1" applyAlignment="1">
      <alignment horizontal="center"/>
    </xf>
    <xf numFmtId="164" fontId="3" fillId="0" borderId="11" xfId="0" applyNumberFormat="1" applyFont="1" applyFill="1" applyBorder="1" applyAlignment="1">
      <alignment horizontal="center" vertical="center"/>
    </xf>
    <xf numFmtId="164" fontId="2" fillId="0" borderId="11" xfId="0" applyNumberFormat="1" applyFont="1" applyFill="1" applyBorder="1" applyAlignment="1">
      <alignment horizontal="center"/>
    </xf>
    <xf numFmtId="164" fontId="3" fillId="0" borderId="0" xfId="0" applyNumberFormat="1" applyFont="1" applyFill="1" applyAlignment="1">
      <alignment horizontal="center"/>
    </xf>
    <xf numFmtId="164" fontId="3" fillId="0" borderId="37" xfId="0" applyNumberFormat="1" applyFont="1" applyFill="1" applyBorder="1" applyAlignment="1">
      <alignment horizontal="center" vertical="center"/>
    </xf>
    <xf numFmtId="164" fontId="3" fillId="0" borderId="0" xfId="0" applyNumberFormat="1" applyFont="1" applyFill="1" applyBorder="1" applyAlignment="1">
      <alignment horizontal="center"/>
    </xf>
    <xf numFmtId="164" fontId="0" fillId="0" borderId="0" xfId="0" applyNumberFormat="1" applyFont="1" applyFill="1" applyAlignment="1">
      <alignment horizontal="center"/>
    </xf>
    <xf numFmtId="164" fontId="3" fillId="0" borderId="10" xfId="0" applyNumberFormat="1" applyFont="1" applyFill="1" applyBorder="1" applyAlignment="1">
      <alignment horizontal="center" vertical="center"/>
    </xf>
    <xf numFmtId="164" fontId="2" fillId="0" borderId="11" xfId="0" applyNumberFormat="1" applyFont="1" applyFill="1" applyBorder="1" applyAlignment="1">
      <alignment horizontal="center" vertical="top"/>
    </xf>
    <xf numFmtId="164" fontId="40" fillId="34" borderId="34" xfId="0" applyNumberFormat="1" applyFont="1" applyFill="1" applyBorder="1" applyAlignment="1">
      <alignment/>
    </xf>
    <xf numFmtId="164" fontId="40" fillId="34" borderId="32" xfId="0" applyNumberFormat="1" applyFont="1" applyFill="1" applyBorder="1" applyAlignment="1">
      <alignment horizontal="center"/>
    </xf>
    <xf numFmtId="0" fontId="40" fillId="34" borderId="32" xfId="0" applyFont="1" applyFill="1" applyBorder="1" applyAlignment="1">
      <alignment horizontal="center"/>
    </xf>
    <xf numFmtId="0" fontId="40" fillId="34" borderId="10" xfId="0" applyFont="1" applyFill="1" applyBorder="1" applyAlignment="1">
      <alignment/>
    </xf>
    <xf numFmtId="164" fontId="40" fillId="34" borderId="10" xfId="0" applyNumberFormat="1" applyFont="1" applyFill="1" applyBorder="1" applyAlignment="1">
      <alignment horizontal="center"/>
    </xf>
    <xf numFmtId="0" fontId="40" fillId="34" borderId="10" xfId="0" applyFont="1" applyFill="1" applyBorder="1" applyAlignment="1">
      <alignment horizontal="center"/>
    </xf>
    <xf numFmtId="164" fontId="40" fillId="34" borderId="10" xfId="0" applyNumberFormat="1" applyFont="1" applyFill="1" applyBorder="1" applyAlignment="1" quotePrefix="1">
      <alignment horizontal="center"/>
    </xf>
    <xf numFmtId="0" fontId="41" fillId="34" borderId="37" xfId="0" applyFont="1" applyFill="1" applyBorder="1" applyAlignment="1">
      <alignment/>
    </xf>
    <xf numFmtId="164" fontId="40" fillId="34" borderId="37" xfId="0" applyNumberFormat="1" applyFont="1" applyFill="1" applyBorder="1" applyAlignment="1">
      <alignment horizontal="center"/>
    </xf>
    <xf numFmtId="0" fontId="40" fillId="34" borderId="32" xfId="0" applyFont="1" applyFill="1" applyBorder="1" applyAlignment="1">
      <alignment/>
    </xf>
    <xf numFmtId="0" fontId="40" fillId="34" borderId="23" xfId="0" applyFont="1" applyFill="1" applyBorder="1" applyAlignment="1">
      <alignment/>
    </xf>
    <xf numFmtId="164" fontId="40" fillId="34" borderId="12" xfId="0" applyNumberFormat="1" applyFont="1" applyFill="1" applyBorder="1" applyAlignment="1">
      <alignment horizontal="center"/>
    </xf>
    <xf numFmtId="164" fontId="40" fillId="34" borderId="13" xfId="0" applyNumberFormat="1" applyFont="1" applyFill="1" applyBorder="1" applyAlignment="1">
      <alignment horizontal="center"/>
    </xf>
    <xf numFmtId="164" fontId="40" fillId="34" borderId="14" xfId="0" applyNumberFormat="1" applyFont="1" applyFill="1" applyBorder="1" applyAlignment="1">
      <alignment horizontal="center"/>
    </xf>
    <xf numFmtId="0" fontId="40" fillId="34" borderId="28" xfId="0" applyFont="1" applyFill="1" applyBorder="1" applyAlignment="1">
      <alignment/>
    </xf>
    <xf numFmtId="164" fontId="40" fillId="34" borderId="15" xfId="0" applyNumberFormat="1" applyFont="1" applyFill="1" applyBorder="1" applyAlignment="1">
      <alignment horizontal="center"/>
    </xf>
    <xf numFmtId="164" fontId="40" fillId="34" borderId="16" xfId="0" applyNumberFormat="1" applyFont="1" applyFill="1" applyBorder="1" applyAlignment="1">
      <alignment horizontal="center"/>
    </xf>
    <xf numFmtId="164" fontId="40" fillId="34" borderId="15" xfId="0" applyNumberFormat="1" applyFont="1" applyFill="1" applyBorder="1" applyAlignment="1" quotePrefix="1">
      <alignment horizontal="center"/>
    </xf>
    <xf numFmtId="164" fontId="40" fillId="34" borderId="35" xfId="0" applyNumberFormat="1" applyFont="1" applyFill="1" applyBorder="1" applyAlignment="1" quotePrefix="1">
      <alignment horizontal="center"/>
    </xf>
    <xf numFmtId="164" fontId="40" fillId="34" borderId="16" xfId="0" applyNumberFormat="1" applyFont="1" applyFill="1" applyBorder="1" applyAlignment="1" quotePrefix="1">
      <alignment horizontal="center"/>
    </xf>
    <xf numFmtId="0" fontId="41" fillId="34" borderId="47" xfId="0" applyFont="1" applyFill="1" applyBorder="1" applyAlignment="1">
      <alignment/>
    </xf>
    <xf numFmtId="164" fontId="40" fillId="34" borderId="17" xfId="0" applyNumberFormat="1" applyFont="1" applyFill="1" applyBorder="1" applyAlignment="1">
      <alignment horizontal="center"/>
    </xf>
    <xf numFmtId="164" fontId="40" fillId="34" borderId="18" xfId="0" applyNumberFormat="1" applyFont="1" applyFill="1" applyBorder="1" applyAlignment="1">
      <alignment horizontal="center"/>
    </xf>
    <xf numFmtId="164" fontId="40" fillId="34" borderId="19" xfId="0" applyNumberFormat="1" applyFont="1" applyFill="1" applyBorder="1" applyAlignment="1">
      <alignment horizontal="center"/>
    </xf>
    <xf numFmtId="164" fontId="40" fillId="34" borderId="23" xfId="0" applyNumberFormat="1" applyFont="1" applyFill="1" applyBorder="1" applyAlignment="1">
      <alignment horizontal="center"/>
    </xf>
    <xf numFmtId="164" fontId="40" fillId="34" borderId="48" xfId="0" applyNumberFormat="1" applyFont="1" applyFill="1" applyBorder="1" applyAlignment="1">
      <alignment horizontal="center"/>
    </xf>
    <xf numFmtId="164" fontId="40" fillId="34" borderId="28" xfId="0" applyNumberFormat="1" applyFont="1" applyFill="1" applyBorder="1" applyAlignment="1">
      <alignment horizontal="center"/>
    </xf>
    <xf numFmtId="164" fontId="40" fillId="34" borderId="33" xfId="0" applyNumberFormat="1" applyFont="1" applyFill="1" applyBorder="1" applyAlignment="1">
      <alignment horizontal="center"/>
    </xf>
    <xf numFmtId="164" fontId="40" fillId="34" borderId="28" xfId="0" applyNumberFormat="1" applyFont="1" applyFill="1" applyBorder="1" applyAlignment="1" quotePrefix="1">
      <alignment horizontal="center"/>
    </xf>
    <xf numFmtId="164" fontId="40" fillId="34" borderId="33" xfId="0" applyNumberFormat="1" applyFont="1" applyFill="1" applyBorder="1" applyAlignment="1" quotePrefix="1">
      <alignment horizontal="center"/>
    </xf>
    <xf numFmtId="164" fontId="40" fillId="34" borderId="47" xfId="0" applyNumberFormat="1" applyFont="1" applyFill="1" applyBorder="1" applyAlignment="1">
      <alignment horizontal="center"/>
    </xf>
    <xf numFmtId="164" fontId="40" fillId="34" borderId="49" xfId="0" applyNumberFormat="1" applyFont="1" applyFill="1" applyBorder="1" applyAlignment="1">
      <alignment horizontal="center"/>
    </xf>
    <xf numFmtId="3" fontId="3" fillId="0" borderId="50" xfId="0" applyNumberFormat="1" applyFont="1" applyFill="1" applyBorder="1" applyAlignment="1">
      <alignment vertical="center" wrapText="1"/>
    </xf>
    <xf numFmtId="3" fontId="3" fillId="0" borderId="51" xfId="0" applyNumberFormat="1" applyFont="1" applyFill="1" applyBorder="1" applyAlignment="1">
      <alignment vertical="center" wrapText="1"/>
    </xf>
    <xf numFmtId="0" fontId="0" fillId="0" borderId="51" xfId="0" applyFill="1" applyBorder="1" applyAlignment="1">
      <alignment vertical="center" wrapText="1"/>
    </xf>
    <xf numFmtId="0" fontId="0" fillId="0" borderId="39" xfId="0" applyFill="1" applyBorder="1" applyAlignment="1">
      <alignment vertical="center" wrapText="1"/>
    </xf>
    <xf numFmtId="164" fontId="3" fillId="0" borderId="32"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4" fontId="3" fillId="0" borderId="37"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17</xdr:row>
      <xdr:rowOff>0</xdr:rowOff>
    </xdr:from>
    <xdr:to>
      <xdr:col>10</xdr:col>
      <xdr:colOff>0</xdr:colOff>
      <xdr:row>17</xdr:row>
      <xdr:rowOff>0</xdr:rowOff>
    </xdr:to>
    <xdr:sp>
      <xdr:nvSpPr>
        <xdr:cNvPr id="1" name="AutoShape 3"/>
        <xdr:cNvSpPr>
          <a:spLocks/>
        </xdr:cNvSpPr>
      </xdr:nvSpPr>
      <xdr:spPr>
        <a:xfrm>
          <a:off x="12192000" y="4657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0</xdr:rowOff>
    </xdr:from>
    <xdr:to>
      <xdr:col>10</xdr:col>
      <xdr:colOff>0</xdr:colOff>
      <xdr:row>11</xdr:row>
      <xdr:rowOff>0</xdr:rowOff>
    </xdr:to>
    <xdr:sp>
      <xdr:nvSpPr>
        <xdr:cNvPr id="1" name="AutoShape 3"/>
        <xdr:cNvSpPr>
          <a:spLocks/>
        </xdr:cNvSpPr>
      </xdr:nvSpPr>
      <xdr:spPr>
        <a:xfrm>
          <a:off x="11658600" y="2181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11</xdr:row>
      <xdr:rowOff>0</xdr:rowOff>
    </xdr:from>
    <xdr:to>
      <xdr:col>9</xdr:col>
      <xdr:colOff>219075</xdr:colOff>
      <xdr:row>11</xdr:row>
      <xdr:rowOff>0</xdr:rowOff>
    </xdr:to>
    <xdr:sp>
      <xdr:nvSpPr>
        <xdr:cNvPr id="2" name="AutoShape 5"/>
        <xdr:cNvSpPr>
          <a:spLocks/>
        </xdr:cNvSpPr>
      </xdr:nvSpPr>
      <xdr:spPr>
        <a:xfrm>
          <a:off x="7991475" y="218122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12</xdr:row>
      <xdr:rowOff>0</xdr:rowOff>
    </xdr:from>
    <xdr:to>
      <xdr:col>10</xdr:col>
      <xdr:colOff>0</xdr:colOff>
      <xdr:row>12</xdr:row>
      <xdr:rowOff>0</xdr:rowOff>
    </xdr:to>
    <xdr:sp>
      <xdr:nvSpPr>
        <xdr:cNvPr id="1" name="AutoShape 3"/>
        <xdr:cNvSpPr>
          <a:spLocks/>
        </xdr:cNvSpPr>
      </xdr:nvSpPr>
      <xdr:spPr>
        <a:xfrm>
          <a:off x="12020550" y="25336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11</xdr:row>
      <xdr:rowOff>0</xdr:rowOff>
    </xdr:from>
    <xdr:to>
      <xdr:col>15</xdr:col>
      <xdr:colOff>0</xdr:colOff>
      <xdr:row>11</xdr:row>
      <xdr:rowOff>0</xdr:rowOff>
    </xdr:to>
    <xdr:sp>
      <xdr:nvSpPr>
        <xdr:cNvPr id="1" name="AutoShape 2"/>
        <xdr:cNvSpPr>
          <a:spLocks/>
        </xdr:cNvSpPr>
      </xdr:nvSpPr>
      <xdr:spPr>
        <a:xfrm>
          <a:off x="8486775" y="2362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xdr:row>
      <xdr:rowOff>0</xdr:rowOff>
    </xdr:from>
    <xdr:to>
      <xdr:col>15</xdr:col>
      <xdr:colOff>0</xdr:colOff>
      <xdr:row>8</xdr:row>
      <xdr:rowOff>0</xdr:rowOff>
    </xdr:to>
    <xdr:sp>
      <xdr:nvSpPr>
        <xdr:cNvPr id="2" name="AutoShape 3"/>
        <xdr:cNvSpPr>
          <a:spLocks/>
        </xdr:cNvSpPr>
      </xdr:nvSpPr>
      <xdr:spPr>
        <a:xfrm>
          <a:off x="8486775" y="1600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0</xdr:rowOff>
    </xdr:from>
    <xdr:to>
      <xdr:col>15</xdr:col>
      <xdr:colOff>0</xdr:colOff>
      <xdr:row>11</xdr:row>
      <xdr:rowOff>0</xdr:rowOff>
    </xdr:to>
    <xdr:sp>
      <xdr:nvSpPr>
        <xdr:cNvPr id="3" name="AutoShape 5"/>
        <xdr:cNvSpPr>
          <a:spLocks/>
        </xdr:cNvSpPr>
      </xdr:nvSpPr>
      <xdr:spPr>
        <a:xfrm>
          <a:off x="8486775" y="2362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12</xdr:row>
      <xdr:rowOff>0</xdr:rowOff>
    </xdr:from>
    <xdr:to>
      <xdr:col>15</xdr:col>
      <xdr:colOff>0</xdr:colOff>
      <xdr:row>12</xdr:row>
      <xdr:rowOff>0</xdr:rowOff>
    </xdr:to>
    <xdr:sp>
      <xdr:nvSpPr>
        <xdr:cNvPr id="4" name="AutoShape 6"/>
        <xdr:cNvSpPr>
          <a:spLocks/>
        </xdr:cNvSpPr>
      </xdr:nvSpPr>
      <xdr:spPr>
        <a:xfrm>
          <a:off x="8486775" y="2552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D30" sqref="D30"/>
    </sheetView>
  </sheetViews>
  <sheetFormatPr defaultColWidth="9.140625" defaultRowHeight="12.75"/>
  <cols>
    <col min="1" max="1" width="30.421875" style="35" bestFit="1" customWidth="1"/>
    <col min="2" max="2" width="12.8515625" style="35" bestFit="1" customWidth="1"/>
    <col min="3" max="3" width="14.8515625" style="35" bestFit="1" customWidth="1"/>
    <col min="4" max="4" width="12.8515625" style="35" bestFit="1" customWidth="1"/>
    <col min="5" max="5" width="13.140625" style="35" bestFit="1" customWidth="1"/>
    <col min="6" max="6" width="13.140625" style="35" customWidth="1"/>
    <col min="7" max="7" width="13.140625" style="35" bestFit="1" customWidth="1"/>
    <col min="8" max="8" width="11.421875" style="35" bestFit="1" customWidth="1"/>
    <col min="9" max="16384" width="9.140625" style="35" customWidth="1"/>
  </cols>
  <sheetData>
    <row r="1" spans="1:8" ht="15.75">
      <c r="A1" s="37" t="s">
        <v>106</v>
      </c>
      <c r="B1" s="10"/>
      <c r="C1" s="10"/>
      <c r="D1" s="10"/>
      <c r="E1" s="10"/>
      <c r="F1" s="10"/>
      <c r="G1" s="10"/>
      <c r="H1" s="10"/>
    </row>
    <row r="2" spans="1:8" ht="15.75">
      <c r="A2" s="10"/>
      <c r="B2" s="26" t="s">
        <v>3</v>
      </c>
      <c r="C2" s="26" t="s">
        <v>5</v>
      </c>
      <c r="D2" s="26" t="s">
        <v>198</v>
      </c>
      <c r="E2" s="26" t="s">
        <v>9</v>
      </c>
      <c r="F2" s="26" t="s">
        <v>8</v>
      </c>
      <c r="G2" s="26" t="s">
        <v>9</v>
      </c>
      <c r="H2" s="26" t="s">
        <v>8</v>
      </c>
    </row>
    <row r="3" spans="1:8" ht="15.75">
      <c r="A3" s="10"/>
      <c r="B3" s="26" t="s">
        <v>1</v>
      </c>
      <c r="C3" s="26" t="s">
        <v>10</v>
      </c>
      <c r="D3" s="26" t="s">
        <v>6</v>
      </c>
      <c r="E3" s="26" t="s">
        <v>13</v>
      </c>
      <c r="F3" s="26" t="s">
        <v>6</v>
      </c>
      <c r="G3" s="26" t="s">
        <v>13</v>
      </c>
      <c r="H3" s="26" t="s">
        <v>6</v>
      </c>
    </row>
    <row r="4" spans="1:8" ht="15.75">
      <c r="A4" s="10"/>
      <c r="B4" s="26" t="s">
        <v>4</v>
      </c>
      <c r="C4" s="27" t="s">
        <v>53</v>
      </c>
      <c r="D4" s="27" t="s">
        <v>53</v>
      </c>
      <c r="E4" s="26" t="s">
        <v>196</v>
      </c>
      <c r="F4" s="26"/>
      <c r="G4" s="26" t="s">
        <v>197</v>
      </c>
      <c r="H4" s="27"/>
    </row>
    <row r="5" spans="1:8" ht="15.75">
      <c r="A5" s="10"/>
      <c r="B5" s="27" t="s">
        <v>53</v>
      </c>
      <c r="C5" s="27"/>
      <c r="D5" s="27"/>
      <c r="E5" s="26"/>
      <c r="F5" s="26"/>
      <c r="G5" s="26"/>
      <c r="H5" s="27"/>
    </row>
    <row r="6" spans="1:8" ht="15.75">
      <c r="A6" s="10"/>
      <c r="B6" s="26" t="s">
        <v>15</v>
      </c>
      <c r="C6" s="26" t="s">
        <v>15</v>
      </c>
      <c r="D6" s="26" t="s">
        <v>15</v>
      </c>
      <c r="E6" s="26" t="s">
        <v>15</v>
      </c>
      <c r="F6" s="26" t="s">
        <v>15</v>
      </c>
      <c r="G6" s="26" t="s">
        <v>15</v>
      </c>
      <c r="H6" s="26" t="s">
        <v>15</v>
      </c>
    </row>
    <row r="7" spans="1:8" ht="15.75">
      <c r="A7" s="10"/>
      <c r="B7" s="26"/>
      <c r="C7" s="26"/>
      <c r="D7" s="26"/>
      <c r="E7" s="26"/>
      <c r="F7" s="26"/>
      <c r="G7" s="26"/>
      <c r="H7" s="26"/>
    </row>
    <row r="8" spans="1:8" ht="15">
      <c r="A8" s="10" t="s">
        <v>62</v>
      </c>
      <c r="B8" s="10">
        <f>+Community!B45</f>
        <v>4835600</v>
      </c>
      <c r="C8" s="10">
        <f>+Community!C45</f>
        <v>3807037</v>
      </c>
      <c r="D8" s="10">
        <f>+Community!D45</f>
        <v>-1028563</v>
      </c>
      <c r="E8" s="10">
        <f>+Community!E45</f>
        <v>974500</v>
      </c>
      <c r="F8" s="10">
        <f>SUM(D8:E8)</f>
        <v>-54063</v>
      </c>
      <c r="G8" s="10">
        <f>+Community!G45</f>
        <v>0</v>
      </c>
      <c r="H8" s="10">
        <f>SUM(F8:G8)</f>
        <v>-54063</v>
      </c>
    </row>
    <row r="9" spans="1:8" ht="15">
      <c r="A9" s="10"/>
      <c r="B9" s="10"/>
      <c r="C9" s="10"/>
      <c r="D9" s="10"/>
      <c r="E9" s="10"/>
      <c r="F9" s="10"/>
      <c r="G9" s="10"/>
      <c r="H9" s="10"/>
    </row>
    <row r="10" spans="1:8" ht="15">
      <c r="A10" s="10" t="s">
        <v>63</v>
      </c>
      <c r="B10" s="10">
        <f>+Corporate!B19</f>
        <v>1607900</v>
      </c>
      <c r="C10" s="10">
        <f>+Corporate!C19</f>
        <v>1475257</v>
      </c>
      <c r="D10" s="10">
        <f>+Corporate!D19</f>
        <v>-132643</v>
      </c>
      <c r="E10" s="10">
        <f>+Corporate!E19</f>
        <v>128200</v>
      </c>
      <c r="F10" s="10">
        <f>SUM(D10:E10)</f>
        <v>-4443</v>
      </c>
      <c r="G10" s="10">
        <f>+Corporate!G19</f>
        <v>0</v>
      </c>
      <c r="H10" s="10">
        <f>SUM(F10:G10)</f>
        <v>-4443</v>
      </c>
    </row>
    <row r="11" spans="1:8" ht="15">
      <c r="A11" s="10"/>
      <c r="B11" s="10"/>
      <c r="C11" s="10"/>
      <c r="D11" s="10"/>
      <c r="E11" s="10"/>
      <c r="F11" s="10"/>
      <c r="G11" s="10"/>
      <c r="H11" s="10"/>
    </row>
    <row r="12" spans="1:8" ht="15">
      <c r="A12" s="10" t="s">
        <v>64</v>
      </c>
      <c r="B12" s="10">
        <f>+'Development Services'!B26</f>
        <v>4608900</v>
      </c>
      <c r="C12" s="10">
        <f>+'Development Services'!C26</f>
        <v>4267092</v>
      </c>
      <c r="D12" s="10">
        <f>+'Development Services'!D26</f>
        <v>-341808</v>
      </c>
      <c r="E12" s="10">
        <f>+'Development Services'!E26</f>
        <v>326700</v>
      </c>
      <c r="F12" s="10">
        <f>SUM(D12:E12)</f>
        <v>-15108</v>
      </c>
      <c r="G12" s="10">
        <f>+'Development Services'!G26</f>
        <v>0</v>
      </c>
      <c r="H12" s="10">
        <f>SUM(F12:G12)</f>
        <v>-15108</v>
      </c>
    </row>
    <row r="13" spans="1:8" ht="15">
      <c r="A13" s="10"/>
      <c r="B13" s="10"/>
      <c r="C13" s="10"/>
      <c r="D13" s="10"/>
      <c r="E13" s="10"/>
      <c r="F13" s="10"/>
      <c r="G13" s="10"/>
      <c r="H13" s="10"/>
    </row>
    <row r="14" spans="1:8" ht="15">
      <c r="A14" s="10" t="s">
        <v>65</v>
      </c>
      <c r="B14" s="10">
        <f>+LDS!B13</f>
        <v>29700</v>
      </c>
      <c r="C14" s="10">
        <f>+LDS!C13</f>
        <v>0</v>
      </c>
      <c r="D14" s="10">
        <f>+LDS!D13</f>
        <v>-29700</v>
      </c>
      <c r="E14" s="10">
        <f>+LDS!E13</f>
        <v>29700</v>
      </c>
      <c r="F14" s="10">
        <f>SUM(D14:E14)</f>
        <v>0</v>
      </c>
      <c r="G14" s="10">
        <f>+LDS!G13</f>
        <v>0</v>
      </c>
      <c r="H14" s="10">
        <f>SUM(F14:G14)</f>
        <v>0</v>
      </c>
    </row>
    <row r="15" spans="1:8" ht="15">
      <c r="A15" s="10"/>
      <c r="B15" s="10"/>
      <c r="C15" s="10"/>
      <c r="D15" s="10"/>
      <c r="E15" s="10"/>
      <c r="F15" s="10"/>
      <c r="G15" s="10"/>
      <c r="H15" s="10"/>
    </row>
    <row r="16" spans="1:8" ht="16.5" thickBot="1">
      <c r="A16" s="10"/>
      <c r="B16" s="38">
        <f aca="true" t="shared" si="0" ref="B16:H16">SUM(B8:B14)</f>
        <v>11082100</v>
      </c>
      <c r="C16" s="38">
        <f t="shared" si="0"/>
        <v>9549386</v>
      </c>
      <c r="D16" s="38">
        <f t="shared" si="0"/>
        <v>-1532714</v>
      </c>
      <c r="E16" s="38">
        <f t="shared" si="0"/>
        <v>1459100</v>
      </c>
      <c r="F16" s="38">
        <f t="shared" si="0"/>
        <v>-73614</v>
      </c>
      <c r="G16" s="38">
        <f t="shared" si="0"/>
        <v>0</v>
      </c>
      <c r="H16" s="38">
        <f t="shared" si="0"/>
        <v>-73614</v>
      </c>
    </row>
    <row r="17" spans="1:8" ht="15">
      <c r="A17" s="10"/>
      <c r="B17" s="10"/>
      <c r="C17" s="10"/>
      <c r="D17" s="10"/>
      <c r="E17" s="10"/>
      <c r="F17" s="10"/>
      <c r="G17" s="10"/>
      <c r="H17" s="10"/>
    </row>
    <row r="18" spans="1:8" ht="15">
      <c r="A18" s="10"/>
      <c r="B18" s="36">
        <v>11082100</v>
      </c>
      <c r="C18" s="36">
        <v>9549385</v>
      </c>
      <c r="D18" s="36">
        <f>C18-B18</f>
        <v>-1532715</v>
      </c>
      <c r="E18" s="36">
        <f>1414100+45000</f>
        <v>1459100</v>
      </c>
      <c r="F18" s="36"/>
      <c r="G18" s="36">
        <v>0</v>
      </c>
      <c r="H18" s="36">
        <v>-73614</v>
      </c>
    </row>
    <row r="19" spans="1:8" ht="15">
      <c r="A19" s="10"/>
      <c r="B19" s="10"/>
      <c r="C19" s="10"/>
      <c r="D19" s="10"/>
      <c r="E19" s="10"/>
      <c r="F19" s="10"/>
      <c r="G19" s="10"/>
      <c r="H19" s="10"/>
    </row>
    <row r="20" spans="1:8" s="74" customFormat="1" ht="15">
      <c r="A20" s="73"/>
      <c r="B20" s="73">
        <f aca="true" t="shared" si="1" ref="B20:H20">+B18-B16</f>
        <v>0</v>
      </c>
      <c r="C20" s="73">
        <f t="shared" si="1"/>
        <v>-1</v>
      </c>
      <c r="D20" s="73">
        <f t="shared" si="1"/>
        <v>-1</v>
      </c>
      <c r="E20" s="73">
        <f t="shared" si="1"/>
        <v>0</v>
      </c>
      <c r="F20" s="73"/>
      <c r="G20" s="73">
        <f t="shared" si="1"/>
        <v>0</v>
      </c>
      <c r="H20" s="73">
        <f t="shared" si="1"/>
        <v>0</v>
      </c>
    </row>
  </sheetData>
  <sheetProtection/>
  <printOptions/>
  <pageMargins left="0.75" right="0.75" top="1" bottom="1" header="0.5" footer="0.5"/>
  <pageSetup fitToHeight="1" fitToWidth="1" horizontalDpi="600" verticalDpi="600" orientation="landscape" paperSize="9" r:id="rId1"/>
  <headerFooter alignWithMargins="0">
    <oddFooter>&amp;L&amp;D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tabSelected="1" zoomScale="80" zoomScaleNormal="80" zoomScaleSheetLayoutView="90" zoomScalePageLayoutView="0" workbookViewId="0" topLeftCell="A1">
      <selection activeCell="J44" sqref="J44"/>
    </sheetView>
  </sheetViews>
  <sheetFormatPr defaultColWidth="9.140625" defaultRowHeight="12.75"/>
  <cols>
    <col min="1" max="1" width="37.28125" style="5" customWidth="1"/>
    <col min="2" max="2" width="11.421875" style="3" customWidth="1"/>
    <col min="3" max="3" width="14.7109375" style="3" bestFit="1" customWidth="1"/>
    <col min="4" max="4" width="12.8515625" style="3" bestFit="1" customWidth="1"/>
    <col min="5" max="5" width="15.140625" style="3" bestFit="1" customWidth="1"/>
    <col min="6" max="6" width="12.8515625" style="3" customWidth="1"/>
    <col min="7" max="7" width="14.57421875" style="3" hidden="1" customWidth="1"/>
    <col min="8" max="8" width="12.8515625" style="3" hidden="1" customWidth="1"/>
    <col min="9" max="9" width="12.8515625" style="125" customWidth="1"/>
    <col min="10" max="10" width="65.7109375" style="5" customWidth="1"/>
    <col min="11" max="11" width="12.421875" style="5" bestFit="1" customWidth="1"/>
    <col min="12" max="16384" width="9.140625" style="5" customWidth="1"/>
  </cols>
  <sheetData>
    <row r="1" spans="1:10" ht="15.75">
      <c r="A1" s="17" t="s">
        <v>101</v>
      </c>
      <c r="J1" s="4" t="s">
        <v>54</v>
      </c>
    </row>
    <row r="2" ht="15">
      <c r="A2" s="3"/>
    </row>
    <row r="3" spans="1:10" ht="15.75">
      <c r="A3" s="17" t="s">
        <v>37</v>
      </c>
      <c r="J3" s="4" t="s">
        <v>14</v>
      </c>
    </row>
    <row r="4" ht="15.75">
      <c r="A4" s="17"/>
    </row>
    <row r="5" ht="15.75">
      <c r="A5" s="17" t="s">
        <v>102</v>
      </c>
    </row>
    <row r="6" ht="15">
      <c r="K6" s="3" t="s">
        <v>143</v>
      </c>
    </row>
    <row r="7" spans="1:10" s="6" customFormat="1" ht="15.75">
      <c r="A7" s="131" t="s">
        <v>0</v>
      </c>
      <c r="B7" s="132" t="s">
        <v>3</v>
      </c>
      <c r="C7" s="132" t="s">
        <v>5</v>
      </c>
      <c r="D7" s="132" t="s">
        <v>198</v>
      </c>
      <c r="E7" s="132" t="s">
        <v>9</v>
      </c>
      <c r="F7" s="132" t="s">
        <v>8</v>
      </c>
      <c r="G7" s="132" t="s">
        <v>9</v>
      </c>
      <c r="H7" s="132" t="s">
        <v>8</v>
      </c>
      <c r="I7" s="132" t="s">
        <v>157</v>
      </c>
      <c r="J7" s="133"/>
    </row>
    <row r="8" spans="1:10" s="6" customFormat="1" ht="15.75">
      <c r="A8" s="134"/>
      <c r="B8" s="135" t="s">
        <v>1</v>
      </c>
      <c r="C8" s="135" t="s">
        <v>10</v>
      </c>
      <c r="D8" s="135" t="s">
        <v>6</v>
      </c>
      <c r="E8" s="135" t="s">
        <v>13</v>
      </c>
      <c r="F8" s="135" t="s">
        <v>6</v>
      </c>
      <c r="G8" s="135" t="s">
        <v>13</v>
      </c>
      <c r="H8" s="135" t="s">
        <v>6</v>
      </c>
      <c r="I8" s="135" t="s">
        <v>158</v>
      </c>
      <c r="J8" s="136" t="s">
        <v>11</v>
      </c>
    </row>
    <row r="9" spans="1:10" s="6" customFormat="1" ht="15.75">
      <c r="A9" s="134"/>
      <c r="B9" s="135" t="s">
        <v>4</v>
      </c>
      <c r="C9" s="137" t="s">
        <v>53</v>
      </c>
      <c r="D9" s="137" t="s">
        <v>53</v>
      </c>
      <c r="E9" s="135" t="s">
        <v>196</v>
      </c>
      <c r="F9" s="135"/>
      <c r="G9" s="135" t="s">
        <v>197</v>
      </c>
      <c r="H9" s="137"/>
      <c r="I9" s="135" t="s">
        <v>46</v>
      </c>
      <c r="J9" s="136"/>
    </row>
    <row r="10" spans="1:10" s="6" customFormat="1" ht="15.75">
      <c r="A10" s="134"/>
      <c r="B10" s="137" t="s">
        <v>53</v>
      </c>
      <c r="C10" s="137"/>
      <c r="D10" s="137"/>
      <c r="E10" s="135"/>
      <c r="F10" s="135"/>
      <c r="G10" s="135"/>
      <c r="H10" s="137"/>
      <c r="I10" s="135" t="s">
        <v>126</v>
      </c>
      <c r="J10" s="136"/>
    </row>
    <row r="11" spans="1:10" ht="15.75">
      <c r="A11" s="138"/>
      <c r="B11" s="139" t="s">
        <v>15</v>
      </c>
      <c r="C11" s="139" t="s">
        <v>15</v>
      </c>
      <c r="D11" s="139" t="s">
        <v>15</v>
      </c>
      <c r="E11" s="139" t="s">
        <v>15</v>
      </c>
      <c r="F11" s="139" t="s">
        <v>15</v>
      </c>
      <c r="G11" s="139" t="s">
        <v>15</v>
      </c>
      <c r="H11" s="139" t="s">
        <v>15</v>
      </c>
      <c r="I11" s="139" t="s">
        <v>159</v>
      </c>
      <c r="J11" s="138"/>
    </row>
    <row r="12" spans="1:11" s="56" customFormat="1" ht="30">
      <c r="A12" s="62" t="s">
        <v>17</v>
      </c>
      <c r="B12" s="63">
        <v>45400</v>
      </c>
      <c r="C12" s="63">
        <v>44603</v>
      </c>
      <c r="D12" s="63">
        <f aca="true" t="shared" si="0" ref="D12:D44">+C12-B12</f>
        <v>-797</v>
      </c>
      <c r="E12" s="63">
        <v>800</v>
      </c>
      <c r="F12" s="63">
        <f>SUM(D12:E12)</f>
        <v>3</v>
      </c>
      <c r="G12" s="63">
        <v>0</v>
      </c>
      <c r="H12" s="63">
        <f>SUM(F12:G12)</f>
        <v>3</v>
      </c>
      <c r="I12" s="123" t="s">
        <v>162</v>
      </c>
      <c r="J12" s="107" t="s">
        <v>167</v>
      </c>
      <c r="K12" s="56" t="s">
        <v>152</v>
      </c>
    </row>
    <row r="13" spans="1:11" s="56" customFormat="1" ht="45">
      <c r="A13" s="62" t="s">
        <v>79</v>
      </c>
      <c r="B13" s="63">
        <v>0</v>
      </c>
      <c r="C13" s="63">
        <v>13222</v>
      </c>
      <c r="D13" s="63">
        <f t="shared" si="0"/>
        <v>13222</v>
      </c>
      <c r="E13" s="63">
        <f>70000-70000</f>
        <v>0</v>
      </c>
      <c r="F13" s="63">
        <f aca="true" t="shared" si="1" ref="F13:F44">SUM(D13:E13)</f>
        <v>13222</v>
      </c>
      <c r="G13" s="63">
        <f>35800-35800</f>
        <v>0</v>
      </c>
      <c r="H13" s="63">
        <f aca="true" t="shared" si="2" ref="H13:H44">SUM(F13:G13)</f>
        <v>13222</v>
      </c>
      <c r="I13" s="123" t="s">
        <v>165</v>
      </c>
      <c r="J13" s="107" t="s">
        <v>200</v>
      </c>
      <c r="K13" s="56" t="s">
        <v>152</v>
      </c>
    </row>
    <row r="14" spans="1:11" s="56" customFormat="1" ht="30">
      <c r="A14" s="62" t="s">
        <v>89</v>
      </c>
      <c r="B14" s="63">
        <v>35000</v>
      </c>
      <c r="C14" s="63">
        <v>33326</v>
      </c>
      <c r="D14" s="63">
        <f t="shared" si="0"/>
        <v>-1674</v>
      </c>
      <c r="E14" s="63">
        <v>0</v>
      </c>
      <c r="F14" s="63">
        <f t="shared" si="1"/>
        <v>-1674</v>
      </c>
      <c r="G14" s="63">
        <v>0</v>
      </c>
      <c r="H14" s="63">
        <f t="shared" si="2"/>
        <v>-1674</v>
      </c>
      <c r="I14" s="123" t="s">
        <v>165</v>
      </c>
      <c r="J14" s="107" t="s">
        <v>181</v>
      </c>
      <c r="K14" s="56" t="s">
        <v>153</v>
      </c>
    </row>
    <row r="15" spans="1:11" s="56" customFormat="1" ht="30">
      <c r="A15" s="62" t="s">
        <v>18</v>
      </c>
      <c r="B15" s="63">
        <v>554000</v>
      </c>
      <c r="C15" s="63">
        <v>54889</v>
      </c>
      <c r="D15" s="63">
        <f t="shared" si="0"/>
        <v>-499111</v>
      </c>
      <c r="E15" s="63">
        <v>499100</v>
      </c>
      <c r="F15" s="63">
        <f t="shared" si="1"/>
        <v>-11</v>
      </c>
      <c r="G15" s="63">
        <v>0</v>
      </c>
      <c r="H15" s="63">
        <f t="shared" si="2"/>
        <v>-11</v>
      </c>
      <c r="I15" s="123" t="s">
        <v>162</v>
      </c>
      <c r="J15" s="107" t="s">
        <v>199</v>
      </c>
      <c r="K15" s="56" t="s">
        <v>154</v>
      </c>
    </row>
    <row r="16" spans="1:11" s="56" customFormat="1" ht="45">
      <c r="A16" s="62" t="s">
        <v>19</v>
      </c>
      <c r="B16" s="63">
        <v>4000</v>
      </c>
      <c r="C16" s="63">
        <v>0</v>
      </c>
      <c r="D16" s="63">
        <f t="shared" si="0"/>
        <v>-4000</v>
      </c>
      <c r="E16" s="63">
        <v>4000</v>
      </c>
      <c r="F16" s="63">
        <f t="shared" si="1"/>
        <v>0</v>
      </c>
      <c r="G16" s="63">
        <v>0</v>
      </c>
      <c r="H16" s="63">
        <f t="shared" si="2"/>
        <v>0</v>
      </c>
      <c r="I16" s="123" t="s">
        <v>162</v>
      </c>
      <c r="J16" s="107" t="s">
        <v>182</v>
      </c>
      <c r="K16" s="56" t="s">
        <v>154</v>
      </c>
    </row>
    <row r="17" spans="1:11" s="56" customFormat="1" ht="15">
      <c r="A17" s="62" t="s">
        <v>20</v>
      </c>
      <c r="B17" s="63">
        <v>3900</v>
      </c>
      <c r="C17" s="63">
        <v>1850</v>
      </c>
      <c r="D17" s="63">
        <f t="shared" si="0"/>
        <v>-2050</v>
      </c>
      <c r="E17" s="63">
        <v>0</v>
      </c>
      <c r="F17" s="63">
        <f t="shared" si="1"/>
        <v>-2050</v>
      </c>
      <c r="G17" s="63">
        <v>0</v>
      </c>
      <c r="H17" s="63">
        <f t="shared" si="2"/>
        <v>-2050</v>
      </c>
      <c r="I17" s="123" t="s">
        <v>165</v>
      </c>
      <c r="J17" s="107" t="s">
        <v>168</v>
      </c>
      <c r="K17" s="56" t="s">
        <v>154</v>
      </c>
    </row>
    <row r="18" spans="1:11" s="56" customFormat="1" ht="30">
      <c r="A18" s="62" t="s">
        <v>67</v>
      </c>
      <c r="B18" s="63">
        <v>0</v>
      </c>
      <c r="C18" s="63">
        <v>-2264</v>
      </c>
      <c r="D18" s="63">
        <f t="shared" si="0"/>
        <v>-2264</v>
      </c>
      <c r="E18" s="63">
        <v>0</v>
      </c>
      <c r="F18" s="63">
        <f t="shared" si="1"/>
        <v>-2264</v>
      </c>
      <c r="G18" s="63">
        <v>0</v>
      </c>
      <c r="H18" s="63">
        <f t="shared" si="2"/>
        <v>-2264</v>
      </c>
      <c r="I18" s="123" t="s">
        <v>165</v>
      </c>
      <c r="J18" s="107" t="s">
        <v>179</v>
      </c>
      <c r="K18" s="56" t="s">
        <v>152</v>
      </c>
    </row>
    <row r="19" spans="1:11" s="56" customFormat="1" ht="45">
      <c r="A19" s="62" t="s">
        <v>22</v>
      </c>
      <c r="B19" s="63">
        <f>252300</f>
        <v>252300</v>
      </c>
      <c r="C19" s="63">
        <f>35535+291+95307+29531+45+26873+8983+29770+11253</f>
        <v>237588</v>
      </c>
      <c r="D19" s="63">
        <f t="shared" si="0"/>
        <v>-14712</v>
      </c>
      <c r="E19" s="63">
        <f>3000+8000+1000+2700-3000+3000</f>
        <v>14700</v>
      </c>
      <c r="F19" s="63">
        <f t="shared" si="1"/>
        <v>-12</v>
      </c>
      <c r="G19" s="63">
        <v>0</v>
      </c>
      <c r="H19" s="63">
        <f t="shared" si="2"/>
        <v>-12</v>
      </c>
      <c r="I19" s="123" t="s">
        <v>162</v>
      </c>
      <c r="J19" s="107" t="s">
        <v>201</v>
      </c>
      <c r="K19" s="56" t="s">
        <v>154</v>
      </c>
    </row>
    <row r="20" spans="1:11" s="56" customFormat="1" ht="30">
      <c r="A20" s="62" t="s">
        <v>107</v>
      </c>
      <c r="B20" s="63">
        <v>1891600</v>
      </c>
      <c r="C20" s="63">
        <v>1859137</v>
      </c>
      <c r="D20" s="63">
        <f t="shared" si="0"/>
        <v>-32463</v>
      </c>
      <c r="E20" s="63">
        <v>35700</v>
      </c>
      <c r="F20" s="63">
        <f t="shared" si="1"/>
        <v>3237</v>
      </c>
      <c r="G20" s="63">
        <v>0</v>
      </c>
      <c r="H20" s="63">
        <f t="shared" si="2"/>
        <v>3237</v>
      </c>
      <c r="I20" s="123" t="s">
        <v>162</v>
      </c>
      <c r="J20" s="107" t="s">
        <v>180</v>
      </c>
      <c r="K20" s="56" t="s">
        <v>154</v>
      </c>
    </row>
    <row r="21" spans="1:12" s="56" customFormat="1" ht="30">
      <c r="A21" s="62" t="s">
        <v>108</v>
      </c>
      <c r="B21" s="63">
        <v>137100</v>
      </c>
      <c r="C21" s="63">
        <v>1534</v>
      </c>
      <c r="D21" s="63">
        <f t="shared" si="0"/>
        <v>-135566</v>
      </c>
      <c r="E21" s="63">
        <v>135500</v>
      </c>
      <c r="F21" s="63">
        <f t="shared" si="1"/>
        <v>-66</v>
      </c>
      <c r="G21" s="63">
        <v>0</v>
      </c>
      <c r="H21" s="63">
        <f t="shared" si="2"/>
        <v>-66</v>
      </c>
      <c r="I21" s="126" t="s">
        <v>162</v>
      </c>
      <c r="J21" s="109" t="s">
        <v>133</v>
      </c>
      <c r="K21" s="57" t="s">
        <v>152</v>
      </c>
      <c r="L21" s="56" t="s">
        <v>14</v>
      </c>
    </row>
    <row r="22" spans="1:12" s="56" customFormat="1" ht="15">
      <c r="A22" s="62" t="s">
        <v>27</v>
      </c>
      <c r="B22" s="63">
        <v>28700</v>
      </c>
      <c r="C22" s="63">
        <v>31758</v>
      </c>
      <c r="D22" s="63">
        <f t="shared" si="0"/>
        <v>3058</v>
      </c>
      <c r="E22" s="63">
        <v>0</v>
      </c>
      <c r="F22" s="63">
        <f t="shared" si="1"/>
        <v>3058</v>
      </c>
      <c r="G22" s="63">
        <v>0</v>
      </c>
      <c r="H22" s="63">
        <f t="shared" si="2"/>
        <v>3058</v>
      </c>
      <c r="I22" s="123" t="s">
        <v>165</v>
      </c>
      <c r="J22" s="107" t="s">
        <v>168</v>
      </c>
      <c r="K22" s="57" t="s">
        <v>153</v>
      </c>
      <c r="L22" s="56" t="s">
        <v>14</v>
      </c>
    </row>
    <row r="23" spans="1:11" s="56" customFormat="1" ht="30">
      <c r="A23" s="62" t="s">
        <v>83</v>
      </c>
      <c r="B23" s="63">
        <v>14300</v>
      </c>
      <c r="C23" s="63">
        <v>43783</v>
      </c>
      <c r="D23" s="63">
        <f t="shared" si="0"/>
        <v>29483</v>
      </c>
      <c r="E23" s="63">
        <v>-29500</v>
      </c>
      <c r="F23" s="63">
        <f t="shared" si="1"/>
        <v>-17</v>
      </c>
      <c r="G23" s="63">
        <v>0</v>
      </c>
      <c r="H23" s="63">
        <f t="shared" si="2"/>
        <v>-17</v>
      </c>
      <c r="I23" s="126" t="s">
        <v>162</v>
      </c>
      <c r="J23" s="110" t="s">
        <v>183</v>
      </c>
      <c r="K23" s="56" t="s">
        <v>153</v>
      </c>
    </row>
    <row r="24" spans="1:11" s="56" customFormat="1" ht="60">
      <c r="A24" s="62" t="s">
        <v>109</v>
      </c>
      <c r="B24" s="63">
        <v>25000</v>
      </c>
      <c r="C24" s="63">
        <v>0</v>
      </c>
      <c r="D24" s="63">
        <f t="shared" si="0"/>
        <v>-25000</v>
      </c>
      <c r="E24" s="63">
        <v>25000</v>
      </c>
      <c r="F24" s="63">
        <f t="shared" si="1"/>
        <v>0</v>
      </c>
      <c r="G24" s="63">
        <v>0</v>
      </c>
      <c r="H24" s="63">
        <f t="shared" si="2"/>
        <v>0</v>
      </c>
      <c r="I24" s="123" t="s">
        <v>162</v>
      </c>
      <c r="J24" s="107" t="s">
        <v>166</v>
      </c>
      <c r="K24" s="56" t="s">
        <v>153</v>
      </c>
    </row>
    <row r="25" spans="1:11" s="56" customFormat="1" ht="30">
      <c r="A25" s="62" t="s">
        <v>29</v>
      </c>
      <c r="B25" s="63">
        <v>180500</v>
      </c>
      <c r="C25" s="63">
        <v>21590</v>
      </c>
      <c r="D25" s="63">
        <f t="shared" si="0"/>
        <v>-158910</v>
      </c>
      <c r="E25" s="63">
        <f>23800+60900+20000+54100-23800</f>
        <v>135000</v>
      </c>
      <c r="F25" s="63">
        <f t="shared" si="1"/>
        <v>-23910</v>
      </c>
      <c r="G25" s="63">
        <v>0</v>
      </c>
      <c r="H25" s="63">
        <f t="shared" si="2"/>
        <v>-23910</v>
      </c>
      <c r="I25" s="123" t="s">
        <v>162</v>
      </c>
      <c r="J25" s="107" t="s">
        <v>134</v>
      </c>
      <c r="K25" s="56" t="s">
        <v>153</v>
      </c>
    </row>
    <row r="26" spans="1:11" s="56" customFormat="1" ht="15">
      <c r="A26" s="62" t="s">
        <v>43</v>
      </c>
      <c r="B26" s="63">
        <v>0</v>
      </c>
      <c r="C26" s="63">
        <v>158</v>
      </c>
      <c r="D26" s="63">
        <f t="shared" si="0"/>
        <v>158</v>
      </c>
      <c r="E26" s="63">
        <v>0</v>
      </c>
      <c r="F26" s="63">
        <f t="shared" si="1"/>
        <v>158</v>
      </c>
      <c r="G26" s="63">
        <v>0</v>
      </c>
      <c r="H26" s="63">
        <f t="shared" si="2"/>
        <v>158</v>
      </c>
      <c r="I26" s="123" t="s">
        <v>165</v>
      </c>
      <c r="J26" s="107" t="s">
        <v>168</v>
      </c>
      <c r="K26" s="56" t="s">
        <v>152</v>
      </c>
    </row>
    <row r="27" spans="1:11" s="56" customFormat="1" ht="90">
      <c r="A27" s="62" t="s">
        <v>30</v>
      </c>
      <c r="B27" s="63">
        <v>46000</v>
      </c>
      <c r="C27" s="63">
        <v>21226</v>
      </c>
      <c r="D27" s="63">
        <f t="shared" si="0"/>
        <v>-24774</v>
      </c>
      <c r="E27" s="63">
        <f>13400+11300</f>
        <v>24700</v>
      </c>
      <c r="F27" s="63">
        <f t="shared" si="1"/>
        <v>-74</v>
      </c>
      <c r="G27" s="63">
        <v>0</v>
      </c>
      <c r="H27" s="63">
        <f t="shared" si="2"/>
        <v>-74</v>
      </c>
      <c r="I27" s="123" t="s">
        <v>162</v>
      </c>
      <c r="J27" s="107" t="s">
        <v>202</v>
      </c>
      <c r="K27" s="56" t="s">
        <v>155</v>
      </c>
    </row>
    <row r="28" spans="1:11" s="56" customFormat="1" ht="30">
      <c r="A28" s="62" t="s">
        <v>31</v>
      </c>
      <c r="B28" s="63">
        <v>200500</v>
      </c>
      <c r="C28" s="63">
        <f>175909</f>
        <v>175909</v>
      </c>
      <c r="D28" s="63">
        <f t="shared" si="0"/>
        <v>-24591</v>
      </c>
      <c r="E28" s="63">
        <f>15700+6000-15700-6000</f>
        <v>0</v>
      </c>
      <c r="F28" s="63">
        <f t="shared" si="1"/>
        <v>-24591</v>
      </c>
      <c r="G28" s="63">
        <v>0</v>
      </c>
      <c r="H28" s="63">
        <f t="shared" si="2"/>
        <v>-24591</v>
      </c>
      <c r="I28" s="123" t="s">
        <v>165</v>
      </c>
      <c r="J28" s="107" t="s">
        <v>184</v>
      </c>
      <c r="K28" s="56" t="s">
        <v>153</v>
      </c>
    </row>
    <row r="29" spans="1:11" s="56" customFormat="1" ht="15">
      <c r="A29" s="62" t="s">
        <v>32</v>
      </c>
      <c r="B29" s="63">
        <v>38400</v>
      </c>
      <c r="C29" s="63">
        <v>47221</v>
      </c>
      <c r="D29" s="63">
        <f t="shared" si="0"/>
        <v>8821</v>
      </c>
      <c r="E29" s="63">
        <v>0</v>
      </c>
      <c r="F29" s="63">
        <f t="shared" si="1"/>
        <v>8821</v>
      </c>
      <c r="G29" s="63">
        <v>0</v>
      </c>
      <c r="H29" s="63">
        <f t="shared" si="2"/>
        <v>8821</v>
      </c>
      <c r="I29" s="123" t="s">
        <v>165</v>
      </c>
      <c r="J29" s="107" t="s">
        <v>178</v>
      </c>
      <c r="K29" s="56" t="s">
        <v>153</v>
      </c>
    </row>
    <row r="30" spans="1:11" s="56" customFormat="1" ht="30">
      <c r="A30" s="62" t="s">
        <v>33</v>
      </c>
      <c r="B30" s="63">
        <v>21000</v>
      </c>
      <c r="C30" s="63">
        <v>21000</v>
      </c>
      <c r="D30" s="63">
        <f t="shared" si="0"/>
        <v>0</v>
      </c>
      <c r="E30" s="63">
        <v>0</v>
      </c>
      <c r="F30" s="63">
        <f t="shared" si="1"/>
        <v>0</v>
      </c>
      <c r="G30" s="63">
        <v>0</v>
      </c>
      <c r="H30" s="63">
        <f t="shared" si="2"/>
        <v>0</v>
      </c>
      <c r="I30" s="123" t="s">
        <v>165</v>
      </c>
      <c r="J30" s="107" t="s">
        <v>185</v>
      </c>
      <c r="K30" s="56" t="s">
        <v>152</v>
      </c>
    </row>
    <row r="31" spans="1:11" s="56" customFormat="1" ht="30">
      <c r="A31" s="62" t="s">
        <v>34</v>
      </c>
      <c r="B31" s="63">
        <v>793800</v>
      </c>
      <c r="C31" s="63">
        <v>559709</v>
      </c>
      <c r="D31" s="63">
        <f t="shared" si="0"/>
        <v>-234091</v>
      </c>
      <c r="E31" s="63">
        <v>234000</v>
      </c>
      <c r="F31" s="63">
        <f t="shared" si="1"/>
        <v>-91</v>
      </c>
      <c r="G31" s="63">
        <v>0</v>
      </c>
      <c r="H31" s="63">
        <f t="shared" si="2"/>
        <v>-91</v>
      </c>
      <c r="I31" s="123" t="s">
        <v>162</v>
      </c>
      <c r="J31" s="111" t="s">
        <v>169</v>
      </c>
      <c r="K31" s="56" t="s">
        <v>153</v>
      </c>
    </row>
    <row r="32" spans="1:11" s="56" customFormat="1" ht="15">
      <c r="A32" s="62" t="s">
        <v>35</v>
      </c>
      <c r="B32" s="63">
        <v>26000</v>
      </c>
      <c r="C32" s="63">
        <v>22841</v>
      </c>
      <c r="D32" s="63">
        <f t="shared" si="0"/>
        <v>-3159</v>
      </c>
      <c r="E32" s="63">
        <v>0</v>
      </c>
      <c r="F32" s="63">
        <f t="shared" si="1"/>
        <v>-3159</v>
      </c>
      <c r="G32" s="63">
        <v>0</v>
      </c>
      <c r="H32" s="63">
        <f t="shared" si="2"/>
        <v>-3159</v>
      </c>
      <c r="I32" s="123" t="s">
        <v>165</v>
      </c>
      <c r="J32" s="107" t="s">
        <v>194</v>
      </c>
      <c r="K32" s="56" t="s">
        <v>156</v>
      </c>
    </row>
    <row r="33" spans="1:11" s="56" customFormat="1" ht="15">
      <c r="A33" s="62" t="s">
        <v>49</v>
      </c>
      <c r="B33" s="63">
        <v>5100</v>
      </c>
      <c r="C33" s="63">
        <v>5052</v>
      </c>
      <c r="D33" s="63">
        <f t="shared" si="0"/>
        <v>-48</v>
      </c>
      <c r="E33" s="63">
        <v>0</v>
      </c>
      <c r="F33" s="63">
        <f t="shared" si="1"/>
        <v>-48</v>
      </c>
      <c r="G33" s="63">
        <v>0</v>
      </c>
      <c r="H33" s="63">
        <f t="shared" si="2"/>
        <v>-48</v>
      </c>
      <c r="I33" s="123" t="s">
        <v>165</v>
      </c>
      <c r="J33" s="107" t="s">
        <v>168</v>
      </c>
      <c r="K33" s="56" t="s">
        <v>152</v>
      </c>
    </row>
    <row r="34" spans="1:11" s="56" customFormat="1" ht="45">
      <c r="A34" s="62" t="s">
        <v>66</v>
      </c>
      <c r="B34" s="63">
        <v>53300</v>
      </c>
      <c r="C34" s="63">
        <v>41093</v>
      </c>
      <c r="D34" s="63">
        <f t="shared" si="0"/>
        <v>-12207</v>
      </c>
      <c r="E34" s="63">
        <v>0</v>
      </c>
      <c r="F34" s="63">
        <f t="shared" si="1"/>
        <v>-12207</v>
      </c>
      <c r="G34" s="63">
        <v>0</v>
      </c>
      <c r="H34" s="63">
        <f t="shared" si="2"/>
        <v>-12207</v>
      </c>
      <c r="I34" s="123" t="s">
        <v>165</v>
      </c>
      <c r="J34" s="107" t="s">
        <v>177</v>
      </c>
      <c r="K34" s="56" t="s">
        <v>156</v>
      </c>
    </row>
    <row r="35" spans="1:11" s="56" customFormat="1" ht="15">
      <c r="A35" s="62" t="s">
        <v>80</v>
      </c>
      <c r="B35" s="63">
        <v>87200</v>
      </c>
      <c r="C35" s="63">
        <v>87154</v>
      </c>
      <c r="D35" s="63">
        <f t="shared" si="0"/>
        <v>-46</v>
      </c>
      <c r="E35" s="63">
        <v>0</v>
      </c>
      <c r="F35" s="63">
        <f t="shared" si="1"/>
        <v>-46</v>
      </c>
      <c r="G35" s="63">
        <v>0</v>
      </c>
      <c r="H35" s="63">
        <f t="shared" si="2"/>
        <v>-46</v>
      </c>
      <c r="I35" s="123" t="s">
        <v>165</v>
      </c>
      <c r="J35" s="107" t="s">
        <v>168</v>
      </c>
      <c r="K35" s="56" t="s">
        <v>152</v>
      </c>
    </row>
    <row r="36" spans="1:11" s="56" customFormat="1" ht="30">
      <c r="A36" s="62" t="s">
        <v>69</v>
      </c>
      <c r="B36" s="63">
        <v>34300</v>
      </c>
      <c r="C36" s="63">
        <v>32923</v>
      </c>
      <c r="D36" s="63">
        <f t="shared" si="0"/>
        <v>-1377</v>
      </c>
      <c r="E36" s="63">
        <v>1300</v>
      </c>
      <c r="F36" s="63">
        <f t="shared" si="1"/>
        <v>-77</v>
      </c>
      <c r="G36" s="63">
        <v>0</v>
      </c>
      <c r="H36" s="63">
        <f t="shared" si="2"/>
        <v>-77</v>
      </c>
      <c r="I36" s="123" t="s">
        <v>162</v>
      </c>
      <c r="J36" s="107" t="s">
        <v>186</v>
      </c>
      <c r="K36" s="56" t="s">
        <v>153</v>
      </c>
    </row>
    <row r="37" spans="1:11" s="56" customFormat="1" ht="30">
      <c r="A37" s="62" t="s">
        <v>70</v>
      </c>
      <c r="B37" s="63">
        <v>21000</v>
      </c>
      <c r="C37" s="63">
        <v>16953</v>
      </c>
      <c r="D37" s="63">
        <f t="shared" si="0"/>
        <v>-4047</v>
      </c>
      <c r="E37" s="63">
        <v>4000</v>
      </c>
      <c r="F37" s="63">
        <f t="shared" si="1"/>
        <v>-47</v>
      </c>
      <c r="G37" s="63">
        <v>0</v>
      </c>
      <c r="H37" s="63">
        <f t="shared" si="2"/>
        <v>-47</v>
      </c>
      <c r="I37" s="123" t="s">
        <v>162</v>
      </c>
      <c r="J37" s="107" t="s">
        <v>176</v>
      </c>
      <c r="K37" s="56" t="s">
        <v>153</v>
      </c>
    </row>
    <row r="38" spans="1:11" s="56" customFormat="1" ht="30">
      <c r="A38" s="62" t="s">
        <v>71</v>
      </c>
      <c r="B38" s="63">
        <v>20500</v>
      </c>
      <c r="C38" s="63">
        <v>8311</v>
      </c>
      <c r="D38" s="63">
        <f t="shared" si="0"/>
        <v>-12189</v>
      </c>
      <c r="E38" s="63">
        <v>12100</v>
      </c>
      <c r="F38" s="63">
        <f t="shared" si="1"/>
        <v>-89</v>
      </c>
      <c r="G38" s="63">
        <v>0</v>
      </c>
      <c r="H38" s="63">
        <f t="shared" si="2"/>
        <v>-89</v>
      </c>
      <c r="I38" s="123" t="s">
        <v>162</v>
      </c>
      <c r="J38" s="107" t="s">
        <v>175</v>
      </c>
      <c r="K38" s="56" t="s">
        <v>153</v>
      </c>
    </row>
    <row r="39" spans="1:11" s="56" customFormat="1" ht="15">
      <c r="A39" s="62" t="s">
        <v>73</v>
      </c>
      <c r="B39" s="63">
        <v>20500</v>
      </c>
      <c r="C39" s="63">
        <v>17115</v>
      </c>
      <c r="D39" s="63">
        <f t="shared" si="0"/>
        <v>-3385</v>
      </c>
      <c r="E39" s="63">
        <v>0</v>
      </c>
      <c r="F39" s="63">
        <f t="shared" si="1"/>
        <v>-3385</v>
      </c>
      <c r="G39" s="63">
        <v>0</v>
      </c>
      <c r="H39" s="63">
        <f t="shared" si="2"/>
        <v>-3385</v>
      </c>
      <c r="I39" s="123" t="s">
        <v>165</v>
      </c>
      <c r="J39" s="107" t="s">
        <v>187</v>
      </c>
      <c r="K39" s="56" t="s">
        <v>153</v>
      </c>
    </row>
    <row r="40" spans="1:11" s="56" customFormat="1" ht="30">
      <c r="A40" s="62" t="s">
        <v>110</v>
      </c>
      <c r="B40" s="63">
        <v>60000</v>
      </c>
      <c r="C40" s="63">
        <v>61731</v>
      </c>
      <c r="D40" s="63">
        <f t="shared" si="0"/>
        <v>1731</v>
      </c>
      <c r="E40" s="63">
        <v>0</v>
      </c>
      <c r="F40" s="63">
        <f t="shared" si="1"/>
        <v>1731</v>
      </c>
      <c r="G40" s="63">
        <v>0</v>
      </c>
      <c r="H40" s="63">
        <f t="shared" si="2"/>
        <v>1731</v>
      </c>
      <c r="I40" s="123" t="s">
        <v>165</v>
      </c>
      <c r="J40" s="107" t="s">
        <v>203</v>
      </c>
      <c r="K40" s="56" t="s">
        <v>155</v>
      </c>
    </row>
    <row r="41" spans="1:11" s="56" customFormat="1" ht="45">
      <c r="A41" s="64" t="s">
        <v>92</v>
      </c>
      <c r="B41" s="63">
        <v>49700</v>
      </c>
      <c r="C41" s="63">
        <v>49055</v>
      </c>
      <c r="D41" s="63">
        <f t="shared" si="0"/>
        <v>-645</v>
      </c>
      <c r="E41" s="63">
        <v>600</v>
      </c>
      <c r="F41" s="63">
        <f t="shared" si="1"/>
        <v>-45</v>
      </c>
      <c r="G41" s="63">
        <v>0</v>
      </c>
      <c r="H41" s="63">
        <f t="shared" si="2"/>
        <v>-45</v>
      </c>
      <c r="I41" s="123" t="s">
        <v>162</v>
      </c>
      <c r="J41" s="107" t="s">
        <v>195</v>
      </c>
      <c r="K41" s="56" t="s">
        <v>153</v>
      </c>
    </row>
    <row r="42" spans="1:11" s="56" customFormat="1" ht="30">
      <c r="A42" s="64" t="s">
        <v>81</v>
      </c>
      <c r="B42" s="63">
        <v>163500</v>
      </c>
      <c r="C42" s="63">
        <v>156145</v>
      </c>
      <c r="D42" s="63">
        <f t="shared" si="0"/>
        <v>-7355</v>
      </c>
      <c r="E42" s="63">
        <v>6000</v>
      </c>
      <c r="F42" s="63">
        <f t="shared" si="1"/>
        <v>-1355</v>
      </c>
      <c r="G42" s="63">
        <v>0</v>
      </c>
      <c r="H42" s="63">
        <f t="shared" si="2"/>
        <v>-1355</v>
      </c>
      <c r="I42" s="123" t="s">
        <v>162</v>
      </c>
      <c r="J42" s="107" t="s">
        <v>204</v>
      </c>
      <c r="K42" s="56" t="s">
        <v>154</v>
      </c>
    </row>
    <row r="43" spans="1:11" s="56" customFormat="1" ht="15">
      <c r="A43" s="64" t="s">
        <v>82</v>
      </c>
      <c r="B43" s="63">
        <v>20000</v>
      </c>
      <c r="C43" s="63">
        <v>10895</v>
      </c>
      <c r="D43" s="63">
        <f t="shared" si="0"/>
        <v>-9105</v>
      </c>
      <c r="E43" s="63">
        <v>0</v>
      </c>
      <c r="F43" s="63">
        <f t="shared" si="1"/>
        <v>-9105</v>
      </c>
      <c r="G43" s="63">
        <v>0</v>
      </c>
      <c r="H43" s="63">
        <f t="shared" si="2"/>
        <v>-9105</v>
      </c>
      <c r="I43" s="123" t="s">
        <v>165</v>
      </c>
      <c r="J43" s="107" t="s">
        <v>174</v>
      </c>
      <c r="K43" s="56" t="s">
        <v>153</v>
      </c>
    </row>
    <row r="44" spans="1:11" s="56" customFormat="1" ht="45">
      <c r="A44" s="62" t="s">
        <v>111</v>
      </c>
      <c r="B44" s="63">
        <v>3000</v>
      </c>
      <c r="C44" s="63">
        <v>131530</v>
      </c>
      <c r="D44" s="63">
        <f t="shared" si="0"/>
        <v>128530</v>
      </c>
      <c r="E44" s="63">
        <f>3000-131500</f>
        <v>-128500</v>
      </c>
      <c r="F44" s="63">
        <f t="shared" si="1"/>
        <v>30</v>
      </c>
      <c r="G44" s="63">
        <v>0</v>
      </c>
      <c r="H44" s="63">
        <f t="shared" si="2"/>
        <v>30</v>
      </c>
      <c r="I44" s="123" t="s">
        <v>162</v>
      </c>
      <c r="J44" s="107" t="s">
        <v>188</v>
      </c>
      <c r="K44" s="56" t="s">
        <v>155</v>
      </c>
    </row>
    <row r="45" spans="1:10" s="12" customFormat="1" ht="15.75">
      <c r="A45" s="11" t="s">
        <v>36</v>
      </c>
      <c r="B45" s="41">
        <f aca="true" t="shared" si="3" ref="B45:H45">SUM(B12:B44)</f>
        <v>4835600</v>
      </c>
      <c r="C45" s="41">
        <f t="shared" si="3"/>
        <v>3807037</v>
      </c>
      <c r="D45" s="41">
        <f t="shared" si="3"/>
        <v>-1028563</v>
      </c>
      <c r="E45" s="41">
        <f t="shared" si="3"/>
        <v>974500</v>
      </c>
      <c r="F45" s="41">
        <f t="shared" si="3"/>
        <v>-54063</v>
      </c>
      <c r="G45" s="41">
        <f t="shared" si="3"/>
        <v>0</v>
      </c>
      <c r="H45" s="41">
        <f t="shared" si="3"/>
        <v>-54063</v>
      </c>
      <c r="I45" s="124"/>
      <c r="J45" s="55"/>
    </row>
    <row r="46" spans="2:10" s="12" customFormat="1" ht="15.75">
      <c r="B46" s="28"/>
      <c r="C46" s="28"/>
      <c r="D46" s="28"/>
      <c r="E46" s="28"/>
      <c r="F46" s="28"/>
      <c r="G46" s="28"/>
      <c r="H46" s="28"/>
      <c r="I46" s="26"/>
      <c r="J46" s="120"/>
    </row>
    <row r="47" spans="1:10" s="12" customFormat="1" ht="15.75">
      <c r="A47" s="121" t="s">
        <v>160</v>
      </c>
      <c r="B47" s="5"/>
      <c r="C47" s="122"/>
      <c r="D47" s="28"/>
      <c r="E47" s="28"/>
      <c r="F47" s="28"/>
      <c r="G47" s="28"/>
      <c r="H47" s="28"/>
      <c r="I47" s="26"/>
      <c r="J47" s="120"/>
    </row>
    <row r="48" spans="1:10" s="12" customFormat="1" ht="15.75">
      <c r="A48" s="5" t="s">
        <v>161</v>
      </c>
      <c r="B48" s="5"/>
      <c r="D48" s="28"/>
      <c r="E48" s="28"/>
      <c r="F48" s="28"/>
      <c r="G48" s="28"/>
      <c r="H48" s="28"/>
      <c r="I48" s="122"/>
      <c r="J48" s="120"/>
    </row>
    <row r="49" spans="1:10" s="12" customFormat="1" ht="15.75">
      <c r="A49" s="5" t="s">
        <v>163</v>
      </c>
      <c r="B49" s="5"/>
      <c r="D49" s="28"/>
      <c r="E49" s="28"/>
      <c r="F49" s="28"/>
      <c r="G49" s="28"/>
      <c r="H49" s="28"/>
      <c r="I49" s="122"/>
      <c r="J49" s="120"/>
    </row>
    <row r="50" spans="1:10" s="12" customFormat="1" ht="15.75">
      <c r="A50" s="5" t="s">
        <v>164</v>
      </c>
      <c r="B50" s="5"/>
      <c r="D50" s="28"/>
      <c r="E50" s="28"/>
      <c r="F50" s="28"/>
      <c r="G50" s="28"/>
      <c r="H50" s="28"/>
      <c r="I50" s="122"/>
      <c r="J50" s="120"/>
    </row>
    <row r="51" spans="2:10" s="9" customFormat="1" ht="15">
      <c r="B51" s="10"/>
      <c r="C51" s="10"/>
      <c r="D51" s="10"/>
      <c r="E51" s="10"/>
      <c r="F51" s="10"/>
      <c r="G51" s="10"/>
      <c r="H51" s="10"/>
      <c r="I51" s="127"/>
      <c r="J51" s="10"/>
    </row>
    <row r="52" spans="1:10" ht="15">
      <c r="A52" s="115"/>
      <c r="B52" s="116"/>
      <c r="H52" s="117" t="s">
        <v>144</v>
      </c>
      <c r="I52" s="128"/>
      <c r="J52" s="119" t="s">
        <v>145</v>
      </c>
    </row>
    <row r="53" spans="1:10" ht="15">
      <c r="A53" s="116"/>
      <c r="B53" s="116"/>
      <c r="J53" s="119" t="s">
        <v>146</v>
      </c>
    </row>
    <row r="54" spans="1:10" ht="15">
      <c r="A54" s="116"/>
      <c r="B54" s="116"/>
      <c r="J54" s="118" t="s">
        <v>147</v>
      </c>
    </row>
    <row r="55" spans="1:10" ht="15">
      <c r="A55" s="116"/>
      <c r="B55" s="116"/>
      <c r="J55" s="118" t="s">
        <v>148</v>
      </c>
    </row>
    <row r="56" spans="1:10" ht="15">
      <c r="A56" s="116"/>
      <c r="B56" s="116"/>
      <c r="J56" s="119" t="s">
        <v>149</v>
      </c>
    </row>
    <row r="57" spans="1:10" ht="15">
      <c r="A57" s="116"/>
      <c r="B57" s="116"/>
      <c r="J57" s="119" t="s">
        <v>150</v>
      </c>
    </row>
  </sheetData>
  <sheetProtection/>
  <printOptions/>
  <pageMargins left="0.7480314960629921" right="0.7480314960629921" top="0.7874015748031497" bottom="0.7874015748031497" header="0.5118110236220472" footer="0.5118110236220472"/>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zoomScale="90" zoomScaleNormal="90" zoomScalePageLayoutView="0" workbookViewId="0" topLeftCell="A1">
      <pane xSplit="1" ySplit="11" topLeftCell="B12" activePane="bottomRight" state="frozen"/>
      <selection pane="topLeft" activeCell="B25" sqref="A1:IV16384"/>
      <selection pane="topRight" activeCell="B25" sqref="A1:IV16384"/>
      <selection pane="bottomLeft" activeCell="B25" sqref="A1:IV16384"/>
      <selection pane="bottomRight" activeCell="A4" sqref="A4"/>
    </sheetView>
  </sheetViews>
  <sheetFormatPr defaultColWidth="9.140625" defaultRowHeight="12.75"/>
  <cols>
    <col min="1" max="1" width="38.28125" style="5" customWidth="1"/>
    <col min="2" max="2" width="11.421875" style="3" bestFit="1" customWidth="1"/>
    <col min="3" max="3" width="14.7109375" style="3" bestFit="1" customWidth="1"/>
    <col min="4" max="4" width="12.8515625" style="3" bestFit="1" customWidth="1"/>
    <col min="5" max="5" width="14.7109375" style="3" bestFit="1" customWidth="1"/>
    <col min="6" max="6" width="12.8515625" style="3" customWidth="1"/>
    <col min="7" max="7" width="14.140625" style="3" hidden="1" customWidth="1"/>
    <col min="8" max="8" width="12.8515625" style="3" hidden="1" customWidth="1"/>
    <col min="9" max="9" width="12.8515625" style="3" customWidth="1"/>
    <col min="10" max="10" width="57.140625" style="5" customWidth="1"/>
    <col min="11" max="11" width="12.7109375" style="5" bestFit="1" customWidth="1"/>
    <col min="12" max="16384" width="9.140625" style="5" customWidth="1"/>
  </cols>
  <sheetData>
    <row r="1" spans="1:10" ht="15.75">
      <c r="A1" s="17" t="s">
        <v>101</v>
      </c>
      <c r="J1" s="4" t="s">
        <v>55</v>
      </c>
    </row>
    <row r="2" ht="15">
      <c r="A2" s="3"/>
    </row>
    <row r="3" ht="15.75">
      <c r="A3" s="17" t="s">
        <v>38</v>
      </c>
    </row>
    <row r="4" ht="15.75">
      <c r="A4" s="17"/>
    </row>
    <row r="5" ht="15.75">
      <c r="A5" s="17" t="s">
        <v>102</v>
      </c>
    </row>
    <row r="6" ht="15">
      <c r="K6" s="3"/>
    </row>
    <row r="7" spans="1:10" s="6" customFormat="1" ht="15.75">
      <c r="A7" s="140" t="s">
        <v>0</v>
      </c>
      <c r="B7" s="132" t="s">
        <v>3</v>
      </c>
      <c r="C7" s="132" t="s">
        <v>5</v>
      </c>
      <c r="D7" s="132" t="s">
        <v>198</v>
      </c>
      <c r="E7" s="132" t="s">
        <v>9</v>
      </c>
      <c r="F7" s="132" t="s">
        <v>8</v>
      </c>
      <c r="G7" s="132" t="s">
        <v>9</v>
      </c>
      <c r="H7" s="132" t="s">
        <v>8</v>
      </c>
      <c r="I7" s="132" t="s">
        <v>157</v>
      </c>
      <c r="J7" s="133"/>
    </row>
    <row r="8" spans="1:10" s="6" customFormat="1" ht="15.75">
      <c r="A8" s="134"/>
      <c r="B8" s="135" t="s">
        <v>1</v>
      </c>
      <c r="C8" s="135" t="s">
        <v>10</v>
      </c>
      <c r="D8" s="135" t="s">
        <v>6</v>
      </c>
      <c r="E8" s="135" t="s">
        <v>13</v>
      </c>
      <c r="F8" s="135" t="s">
        <v>6</v>
      </c>
      <c r="G8" s="135" t="s">
        <v>13</v>
      </c>
      <c r="H8" s="135" t="s">
        <v>6</v>
      </c>
      <c r="I8" s="135" t="s">
        <v>158</v>
      </c>
      <c r="J8" s="136" t="s">
        <v>11</v>
      </c>
    </row>
    <row r="9" spans="1:10" s="6" customFormat="1" ht="15.75">
      <c r="A9" s="134"/>
      <c r="B9" s="135" t="s">
        <v>4</v>
      </c>
      <c r="C9" s="137" t="s">
        <v>53</v>
      </c>
      <c r="D9" s="137" t="s">
        <v>53</v>
      </c>
      <c r="E9" s="135" t="s">
        <v>196</v>
      </c>
      <c r="F9" s="135"/>
      <c r="G9" s="135" t="s">
        <v>197</v>
      </c>
      <c r="H9" s="137"/>
      <c r="I9" s="135" t="s">
        <v>46</v>
      </c>
      <c r="J9" s="136"/>
    </row>
    <row r="10" spans="1:10" s="6" customFormat="1" ht="15.75">
      <c r="A10" s="134"/>
      <c r="B10" s="137" t="s">
        <v>53</v>
      </c>
      <c r="C10" s="137"/>
      <c r="D10" s="137"/>
      <c r="E10" s="135"/>
      <c r="F10" s="135"/>
      <c r="G10" s="135"/>
      <c r="H10" s="137"/>
      <c r="I10" s="135" t="s">
        <v>126</v>
      </c>
      <c r="J10" s="136"/>
    </row>
    <row r="11" spans="1:10" ht="15.75">
      <c r="A11" s="138"/>
      <c r="B11" s="139" t="s">
        <v>15</v>
      </c>
      <c r="C11" s="139" t="s">
        <v>15</v>
      </c>
      <c r="D11" s="139" t="s">
        <v>15</v>
      </c>
      <c r="E11" s="139" t="s">
        <v>15</v>
      </c>
      <c r="F11" s="139" t="s">
        <v>15</v>
      </c>
      <c r="G11" s="139" t="s">
        <v>15</v>
      </c>
      <c r="H11" s="139" t="s">
        <v>15</v>
      </c>
      <c r="I11" s="139" t="s">
        <v>159</v>
      </c>
      <c r="J11" s="138"/>
    </row>
    <row r="12" spans="1:10" s="13" customFormat="1" ht="30">
      <c r="A12" s="62" t="s">
        <v>112</v>
      </c>
      <c r="B12" s="63">
        <v>206200</v>
      </c>
      <c r="C12" s="75">
        <v>101497</v>
      </c>
      <c r="D12" s="63">
        <f aca="true" t="shared" si="0" ref="D12:D18">+C12-B12</f>
        <v>-104703</v>
      </c>
      <c r="E12" s="63">
        <v>104700</v>
      </c>
      <c r="F12" s="63">
        <f>SUM(D12:E12)</f>
        <v>-3</v>
      </c>
      <c r="G12" s="63">
        <v>0</v>
      </c>
      <c r="H12" s="63">
        <f>SUM(F12:G12)</f>
        <v>-3</v>
      </c>
      <c r="I12" s="123" t="s">
        <v>162</v>
      </c>
      <c r="J12" s="114" t="s">
        <v>141</v>
      </c>
    </row>
    <row r="13" spans="1:10" s="58" customFormat="1" ht="45">
      <c r="A13" s="62" t="s">
        <v>68</v>
      </c>
      <c r="B13" s="63">
        <v>25400</v>
      </c>
      <c r="C13" s="75">
        <v>36711</v>
      </c>
      <c r="D13" s="63">
        <f t="shared" si="0"/>
        <v>11311</v>
      </c>
      <c r="E13" s="63">
        <v>0</v>
      </c>
      <c r="F13" s="63">
        <f aca="true" t="shared" si="1" ref="F13:F18">SUM(D13:E13)</f>
        <v>11311</v>
      </c>
      <c r="G13" s="63">
        <v>0</v>
      </c>
      <c r="H13" s="63">
        <f aca="true" t="shared" si="2" ref="H13:H18">SUM(F13:G13)</f>
        <v>11311</v>
      </c>
      <c r="I13" s="123" t="s">
        <v>165</v>
      </c>
      <c r="J13" s="114" t="s">
        <v>142</v>
      </c>
    </row>
    <row r="14" spans="1:10" s="9" customFormat="1" ht="30">
      <c r="A14" s="62" t="s">
        <v>25</v>
      </c>
      <c r="B14" s="63">
        <v>45000</v>
      </c>
      <c r="C14" s="63">
        <v>0</v>
      </c>
      <c r="D14" s="63">
        <f>+C14-B14</f>
        <v>-45000</v>
      </c>
      <c r="E14" s="63">
        <v>45000</v>
      </c>
      <c r="F14" s="63">
        <f t="shared" si="1"/>
        <v>0</v>
      </c>
      <c r="G14" s="63">
        <v>0</v>
      </c>
      <c r="H14" s="63">
        <f t="shared" si="2"/>
        <v>0</v>
      </c>
      <c r="I14" s="123" t="s">
        <v>162</v>
      </c>
      <c r="J14" s="107" t="s">
        <v>192</v>
      </c>
    </row>
    <row r="15" spans="1:10" s="16" customFormat="1" ht="30">
      <c r="A15" s="62" t="s">
        <v>26</v>
      </c>
      <c r="B15" s="63">
        <v>9400</v>
      </c>
      <c r="C15" s="63">
        <v>7982</v>
      </c>
      <c r="D15" s="63">
        <f t="shared" si="0"/>
        <v>-1418</v>
      </c>
      <c r="E15" s="63">
        <v>0</v>
      </c>
      <c r="F15" s="63">
        <f t="shared" si="1"/>
        <v>-1418</v>
      </c>
      <c r="G15" s="63">
        <v>0</v>
      </c>
      <c r="H15" s="63">
        <f t="shared" si="2"/>
        <v>-1418</v>
      </c>
      <c r="I15" s="123" t="s">
        <v>165</v>
      </c>
      <c r="J15" s="107" t="s">
        <v>170</v>
      </c>
    </row>
    <row r="16" spans="1:10" s="9" customFormat="1" ht="30">
      <c r="A16" s="62" t="s">
        <v>113</v>
      </c>
      <c r="B16" s="63">
        <v>53100</v>
      </c>
      <c r="C16" s="63">
        <v>38796</v>
      </c>
      <c r="D16" s="63">
        <f>+C16-B16</f>
        <v>-14304</v>
      </c>
      <c r="E16" s="63">
        <v>0</v>
      </c>
      <c r="F16" s="63">
        <f t="shared" si="1"/>
        <v>-14304</v>
      </c>
      <c r="G16" s="63">
        <v>0</v>
      </c>
      <c r="H16" s="63">
        <f t="shared" si="2"/>
        <v>-14304</v>
      </c>
      <c r="I16" s="123" t="s">
        <v>165</v>
      </c>
      <c r="J16" s="107" t="s">
        <v>171</v>
      </c>
    </row>
    <row r="17" spans="1:10" s="9" customFormat="1" ht="30">
      <c r="A17" s="62" t="s">
        <v>114</v>
      </c>
      <c r="B17" s="63">
        <f>61800+8700</f>
        <v>70500</v>
      </c>
      <c r="C17" s="63">
        <v>92014</v>
      </c>
      <c r="D17" s="63">
        <f>+C17-B17</f>
        <v>21514</v>
      </c>
      <c r="E17" s="63">
        <v>-21500</v>
      </c>
      <c r="F17" s="63">
        <f t="shared" si="1"/>
        <v>14</v>
      </c>
      <c r="G17" s="63">
        <v>0</v>
      </c>
      <c r="H17" s="63">
        <f t="shared" si="2"/>
        <v>14</v>
      </c>
      <c r="I17" s="123" t="s">
        <v>162</v>
      </c>
      <c r="J17" s="107" t="s">
        <v>172</v>
      </c>
    </row>
    <row r="18" spans="1:10" s="9" customFormat="1" ht="30">
      <c r="A18" s="64" t="s">
        <v>115</v>
      </c>
      <c r="B18" s="63">
        <v>1198300</v>
      </c>
      <c r="C18" s="63">
        <v>1198257</v>
      </c>
      <c r="D18" s="63">
        <f t="shared" si="0"/>
        <v>-43</v>
      </c>
      <c r="E18" s="63">
        <v>0</v>
      </c>
      <c r="F18" s="63">
        <f t="shared" si="1"/>
        <v>-43</v>
      </c>
      <c r="G18" s="63">
        <v>0</v>
      </c>
      <c r="H18" s="63">
        <f t="shared" si="2"/>
        <v>-43</v>
      </c>
      <c r="I18" s="123" t="s">
        <v>165</v>
      </c>
      <c r="J18" s="107" t="s">
        <v>191</v>
      </c>
    </row>
    <row r="19" spans="1:10" s="12" customFormat="1" ht="15.75">
      <c r="A19" s="11" t="s">
        <v>36</v>
      </c>
      <c r="B19" s="41">
        <f aca="true" t="shared" si="3" ref="B19:H19">SUM(B12:B18)</f>
        <v>1607900</v>
      </c>
      <c r="C19" s="41">
        <f t="shared" si="3"/>
        <v>1475257</v>
      </c>
      <c r="D19" s="41">
        <f t="shared" si="3"/>
        <v>-132643</v>
      </c>
      <c r="E19" s="41">
        <f t="shared" si="3"/>
        <v>128200</v>
      </c>
      <c r="F19" s="41">
        <f t="shared" si="3"/>
        <v>-4443</v>
      </c>
      <c r="G19" s="41">
        <f t="shared" si="3"/>
        <v>0</v>
      </c>
      <c r="H19" s="41">
        <f t="shared" si="3"/>
        <v>-4443</v>
      </c>
      <c r="I19" s="124"/>
      <c r="J19" s="55"/>
    </row>
    <row r="20" spans="1:10" s="9" customFormat="1" ht="15">
      <c r="A20" s="16"/>
      <c r="B20" s="15"/>
      <c r="C20" s="15"/>
      <c r="D20" s="15"/>
      <c r="E20" s="15"/>
      <c r="F20" s="15"/>
      <c r="G20" s="15"/>
      <c r="H20" s="15"/>
      <c r="I20" s="15"/>
      <c r="J20" s="10"/>
    </row>
    <row r="21" spans="1:10" s="12" customFormat="1" ht="15.75">
      <c r="A21" s="121" t="s">
        <v>160</v>
      </c>
      <c r="B21" s="5"/>
      <c r="C21" s="122"/>
      <c r="D21" s="28"/>
      <c r="E21" s="28"/>
      <c r="F21" s="28"/>
      <c r="G21" s="28"/>
      <c r="H21" s="28"/>
      <c r="I21" s="28"/>
      <c r="J21" s="120"/>
    </row>
    <row r="22" spans="1:10" s="12" customFormat="1" ht="15.75">
      <c r="A22" s="5" t="s">
        <v>161</v>
      </c>
      <c r="B22" s="5"/>
      <c r="D22" s="28"/>
      <c r="E22" s="28"/>
      <c r="F22" s="28"/>
      <c r="G22" s="28"/>
      <c r="H22" s="28"/>
      <c r="I22" s="122"/>
      <c r="J22" s="120"/>
    </row>
    <row r="23" spans="1:10" s="12" customFormat="1" ht="15.75">
      <c r="A23" s="5" t="s">
        <v>163</v>
      </c>
      <c r="B23" s="5"/>
      <c r="D23" s="28"/>
      <c r="E23" s="28"/>
      <c r="F23" s="28"/>
      <c r="G23" s="28"/>
      <c r="H23" s="28"/>
      <c r="I23" s="122"/>
      <c r="J23" s="120"/>
    </row>
    <row r="24" spans="1:10" s="12" customFormat="1" ht="15.75">
      <c r="A24" s="5" t="s">
        <v>164</v>
      </c>
      <c r="B24" s="5"/>
      <c r="D24" s="28"/>
      <c r="E24" s="28"/>
      <c r="F24" s="28"/>
      <c r="G24" s="28"/>
      <c r="H24" s="28"/>
      <c r="I24" s="122"/>
      <c r="J24" s="120"/>
    </row>
    <row r="25" spans="1:6" ht="15">
      <c r="A25" s="9"/>
      <c r="B25" s="10"/>
      <c r="C25" s="10"/>
      <c r="D25" s="10"/>
      <c r="E25" s="10"/>
      <c r="F25" s="10"/>
    </row>
    <row r="26" spans="1:6" ht="15">
      <c r="A26" s="9"/>
      <c r="B26" s="10"/>
      <c r="C26" s="10"/>
      <c r="D26" s="10"/>
      <c r="E26" s="10"/>
      <c r="F26" s="10"/>
    </row>
    <row r="27" spans="1:6" ht="15">
      <c r="A27" s="9"/>
      <c r="B27" s="10"/>
      <c r="C27" s="10"/>
      <c r="D27" s="10"/>
      <c r="E27" s="10"/>
      <c r="F27" s="10"/>
    </row>
    <row r="28" spans="1:6" ht="15">
      <c r="A28" s="9"/>
      <c r="B28" s="10"/>
      <c r="C28" s="10"/>
      <c r="D28" s="10"/>
      <c r="E28" s="10"/>
      <c r="F28" s="10"/>
    </row>
    <row r="29" spans="1:6" ht="15">
      <c r="A29" s="9"/>
      <c r="B29" s="10"/>
      <c r="C29" s="10"/>
      <c r="D29" s="10"/>
      <c r="E29" s="10"/>
      <c r="F29" s="10"/>
    </row>
    <row r="30" spans="1:6" ht="15">
      <c r="A30" s="9"/>
      <c r="B30" s="10"/>
      <c r="C30" s="10"/>
      <c r="D30" s="10"/>
      <c r="E30" s="10"/>
      <c r="F30" s="10"/>
    </row>
    <row r="31" spans="1:6" ht="15">
      <c r="A31" s="9"/>
      <c r="B31" s="10"/>
      <c r="C31" s="10"/>
      <c r="D31" s="10"/>
      <c r="E31" s="10"/>
      <c r="F31" s="10"/>
    </row>
    <row r="32" spans="1:6" ht="15">
      <c r="A32" s="9"/>
      <c r="B32" s="10"/>
      <c r="C32" s="10"/>
      <c r="D32" s="10"/>
      <c r="E32" s="10"/>
      <c r="F32" s="10"/>
    </row>
  </sheetData>
  <sheetProtection/>
  <printOptions/>
  <pageMargins left="0.75" right="0.75" top="1" bottom="1" header="0.5" footer="0.5"/>
  <pageSetup fitToHeight="2"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1:K31"/>
  <sheetViews>
    <sheetView zoomScale="90" zoomScaleNormal="90" zoomScalePageLayoutView="0" workbookViewId="0" topLeftCell="A1">
      <selection activeCell="A4" sqref="A4"/>
    </sheetView>
  </sheetViews>
  <sheetFormatPr defaultColWidth="9.140625" defaultRowHeight="12.75"/>
  <cols>
    <col min="1" max="1" width="45.00390625" style="5" customWidth="1"/>
    <col min="2" max="2" width="11.421875" style="3" customWidth="1"/>
    <col min="3" max="3" width="14.8515625" style="3" bestFit="1" customWidth="1"/>
    <col min="4" max="4" width="13.28125" style="3" bestFit="1" customWidth="1"/>
    <col min="5" max="5" width="14.7109375" style="3" bestFit="1" customWidth="1"/>
    <col min="6" max="6" width="13.00390625" style="3" customWidth="1"/>
    <col min="7" max="7" width="14.140625" style="3" hidden="1" customWidth="1"/>
    <col min="8" max="8" width="11.140625" style="3" hidden="1" customWidth="1"/>
    <col min="9" max="9" width="11.00390625" style="125" customWidth="1"/>
    <col min="10" max="10" width="57.00390625" style="5" customWidth="1"/>
    <col min="11" max="16384" width="9.140625" style="5" customWidth="1"/>
  </cols>
  <sheetData>
    <row r="1" spans="1:10" ht="15.75">
      <c r="A1" s="17" t="s">
        <v>101</v>
      </c>
      <c r="J1" s="4" t="s">
        <v>56</v>
      </c>
    </row>
    <row r="2" ht="15">
      <c r="A2" s="3"/>
    </row>
    <row r="3" ht="15.75">
      <c r="A3" s="17" t="s">
        <v>39</v>
      </c>
    </row>
    <row r="4" ht="15.75">
      <c r="A4" s="17"/>
    </row>
    <row r="5" ht="15.75">
      <c r="A5" s="17" t="s">
        <v>102</v>
      </c>
    </row>
    <row r="7" spans="1:10" s="6" customFormat="1" ht="15.75">
      <c r="A7" s="140" t="s">
        <v>0</v>
      </c>
      <c r="B7" s="132" t="s">
        <v>3</v>
      </c>
      <c r="C7" s="132" t="s">
        <v>5</v>
      </c>
      <c r="D7" s="132" t="s">
        <v>198</v>
      </c>
      <c r="E7" s="132" t="s">
        <v>9</v>
      </c>
      <c r="F7" s="132" t="s">
        <v>8</v>
      </c>
      <c r="G7" s="132" t="s">
        <v>9</v>
      </c>
      <c r="H7" s="132" t="s">
        <v>8</v>
      </c>
      <c r="I7" s="132" t="s">
        <v>157</v>
      </c>
      <c r="J7" s="133"/>
    </row>
    <row r="8" spans="1:10" s="6" customFormat="1" ht="15.75">
      <c r="A8" s="134"/>
      <c r="B8" s="135" t="s">
        <v>1</v>
      </c>
      <c r="C8" s="135" t="s">
        <v>10</v>
      </c>
      <c r="D8" s="135" t="s">
        <v>6</v>
      </c>
      <c r="E8" s="135" t="s">
        <v>13</v>
      </c>
      <c r="F8" s="135" t="s">
        <v>6</v>
      </c>
      <c r="G8" s="135" t="s">
        <v>13</v>
      </c>
      <c r="H8" s="135" t="s">
        <v>6</v>
      </c>
      <c r="I8" s="135" t="s">
        <v>158</v>
      </c>
      <c r="J8" s="136" t="s">
        <v>11</v>
      </c>
    </row>
    <row r="9" spans="1:10" s="6" customFormat="1" ht="15.75">
      <c r="A9" s="134"/>
      <c r="B9" s="135" t="s">
        <v>4</v>
      </c>
      <c r="C9" s="137" t="s">
        <v>53</v>
      </c>
      <c r="D9" s="137" t="s">
        <v>53</v>
      </c>
      <c r="E9" s="135" t="s">
        <v>196</v>
      </c>
      <c r="F9" s="135"/>
      <c r="G9" s="135" t="s">
        <v>197</v>
      </c>
      <c r="H9" s="137"/>
      <c r="I9" s="135" t="s">
        <v>46</v>
      </c>
      <c r="J9" s="136"/>
    </row>
    <row r="10" spans="1:10" s="6" customFormat="1" ht="15.75">
      <c r="A10" s="134"/>
      <c r="B10" s="137" t="s">
        <v>53</v>
      </c>
      <c r="C10" s="137"/>
      <c r="D10" s="137"/>
      <c r="E10" s="135"/>
      <c r="F10" s="135"/>
      <c r="G10" s="135"/>
      <c r="H10" s="137"/>
      <c r="I10" s="135" t="s">
        <v>126</v>
      </c>
      <c r="J10" s="136"/>
    </row>
    <row r="11" spans="1:10" ht="15.75">
      <c r="A11" s="138"/>
      <c r="B11" s="139" t="s">
        <v>15</v>
      </c>
      <c r="C11" s="139" t="s">
        <v>15</v>
      </c>
      <c r="D11" s="139" t="s">
        <v>15</v>
      </c>
      <c r="E11" s="139" t="s">
        <v>15</v>
      </c>
      <c r="F11" s="139" t="s">
        <v>15</v>
      </c>
      <c r="G11" s="139" t="s">
        <v>15</v>
      </c>
      <c r="H11" s="139" t="s">
        <v>15</v>
      </c>
      <c r="I11" s="139" t="s">
        <v>159</v>
      </c>
      <c r="J11" s="138"/>
    </row>
    <row r="12" spans="1:10" s="56" customFormat="1" ht="30">
      <c r="A12" s="62" t="s">
        <v>93</v>
      </c>
      <c r="B12" s="63">
        <v>20000</v>
      </c>
      <c r="C12" s="63">
        <v>8626</v>
      </c>
      <c r="D12" s="63">
        <f>+C12-B12</f>
        <v>-11374</v>
      </c>
      <c r="E12" s="63">
        <f>11300</f>
        <v>11300</v>
      </c>
      <c r="F12" s="63">
        <f>SUM(D12:E12)</f>
        <v>-74</v>
      </c>
      <c r="G12" s="63">
        <v>0</v>
      </c>
      <c r="H12" s="63">
        <f>SUM(F12:G12)</f>
        <v>-74</v>
      </c>
      <c r="I12" s="123" t="s">
        <v>162</v>
      </c>
      <c r="J12" s="107" t="s">
        <v>128</v>
      </c>
    </row>
    <row r="13" spans="1:10" s="56" customFormat="1" ht="15">
      <c r="A13" s="65" t="s">
        <v>97</v>
      </c>
      <c r="B13" s="59"/>
      <c r="C13" s="59"/>
      <c r="D13" s="59"/>
      <c r="E13" s="59"/>
      <c r="F13" s="59"/>
      <c r="G13" s="59"/>
      <c r="H13" s="59"/>
      <c r="I13" s="167" t="s">
        <v>162</v>
      </c>
      <c r="J13" s="163" t="s">
        <v>189</v>
      </c>
    </row>
    <row r="14" spans="1:10" s="56" customFormat="1" ht="15">
      <c r="A14" s="66" t="s">
        <v>100</v>
      </c>
      <c r="B14" s="67">
        <v>1047000</v>
      </c>
      <c r="C14" s="67">
        <v>634910</v>
      </c>
      <c r="D14" s="67">
        <f>+C14-B14</f>
        <v>-412090</v>
      </c>
      <c r="E14" s="67">
        <v>224500</v>
      </c>
      <c r="F14" s="67">
        <f>SUM(D14:E14)</f>
        <v>-187590</v>
      </c>
      <c r="G14" s="67">
        <v>0</v>
      </c>
      <c r="H14" s="67">
        <f>SUM(F14:G14)</f>
        <v>-187590</v>
      </c>
      <c r="I14" s="168"/>
      <c r="J14" s="164"/>
    </row>
    <row r="15" spans="1:10" s="56" customFormat="1" ht="15">
      <c r="A15" s="66" t="s">
        <v>99</v>
      </c>
      <c r="B15" s="67">
        <v>300000</v>
      </c>
      <c r="C15" s="67">
        <v>487494</v>
      </c>
      <c r="D15" s="67">
        <f>+C15-B15</f>
        <v>187494</v>
      </c>
      <c r="E15" s="67">
        <v>0</v>
      </c>
      <c r="F15" s="67">
        <f>SUM(D15:E15)</f>
        <v>187494</v>
      </c>
      <c r="G15" s="67">
        <v>0</v>
      </c>
      <c r="H15" s="67">
        <f>SUM(F15:G15)</f>
        <v>187494</v>
      </c>
      <c r="I15" s="168"/>
      <c r="J15" s="164"/>
    </row>
    <row r="16" spans="1:10" s="56" customFormat="1" ht="15.75">
      <c r="A16" s="66"/>
      <c r="B16" s="68">
        <f aca="true" t="shared" si="0" ref="B16:H16">SUM(B14:B15)</f>
        <v>1347000</v>
      </c>
      <c r="C16" s="68">
        <f t="shared" si="0"/>
        <v>1122404</v>
      </c>
      <c r="D16" s="68">
        <f t="shared" si="0"/>
        <v>-224596</v>
      </c>
      <c r="E16" s="68">
        <f t="shared" si="0"/>
        <v>224500</v>
      </c>
      <c r="F16" s="68">
        <f t="shared" si="0"/>
        <v>-96</v>
      </c>
      <c r="G16" s="68">
        <f t="shared" si="0"/>
        <v>0</v>
      </c>
      <c r="H16" s="68">
        <f t="shared" si="0"/>
        <v>-96</v>
      </c>
      <c r="I16" s="168"/>
      <c r="J16" s="165"/>
    </row>
    <row r="17" spans="1:10" s="56" customFormat="1" ht="15.75">
      <c r="A17" s="69"/>
      <c r="B17" s="70"/>
      <c r="C17" s="70"/>
      <c r="D17" s="70"/>
      <c r="E17" s="70"/>
      <c r="F17" s="70"/>
      <c r="G17" s="70"/>
      <c r="H17" s="70"/>
      <c r="I17" s="169"/>
      <c r="J17" s="166"/>
    </row>
    <row r="18" spans="1:10" s="56" customFormat="1" ht="45">
      <c r="A18" s="62" t="s">
        <v>24</v>
      </c>
      <c r="B18" s="63">
        <v>14000</v>
      </c>
      <c r="C18" s="63">
        <v>-1790</v>
      </c>
      <c r="D18" s="63">
        <f aca="true" t="shared" si="1" ref="D18:D25">+C18-B18</f>
        <v>-15790</v>
      </c>
      <c r="E18" s="63">
        <v>0</v>
      </c>
      <c r="F18" s="63">
        <f aca="true" t="shared" si="2" ref="F18:F25">SUM(D18:E18)</f>
        <v>-15790</v>
      </c>
      <c r="G18" s="63">
        <v>0</v>
      </c>
      <c r="H18" s="63">
        <f>SUM(F18:G18)</f>
        <v>-15790</v>
      </c>
      <c r="I18" s="123" t="s">
        <v>165</v>
      </c>
      <c r="J18" s="107" t="s">
        <v>173</v>
      </c>
    </row>
    <row r="19" spans="1:10" s="56" customFormat="1" ht="45">
      <c r="A19" s="62" t="s">
        <v>94</v>
      </c>
      <c r="B19" s="63">
        <v>60000</v>
      </c>
      <c r="C19" s="63">
        <v>15500</v>
      </c>
      <c r="D19" s="63">
        <f t="shared" si="1"/>
        <v>-44500</v>
      </c>
      <c r="E19" s="63">
        <v>44500</v>
      </c>
      <c r="F19" s="63">
        <f t="shared" si="2"/>
        <v>0</v>
      </c>
      <c r="G19" s="63">
        <v>0</v>
      </c>
      <c r="H19" s="63">
        <f aca="true" t="shared" si="3" ref="H19:H25">SUM(F19:G19)</f>
        <v>0</v>
      </c>
      <c r="I19" s="129" t="s">
        <v>162</v>
      </c>
      <c r="J19" s="106" t="s">
        <v>129</v>
      </c>
    </row>
    <row r="20" spans="1:10" s="56" customFormat="1" ht="30">
      <c r="A20" s="62" t="s">
        <v>95</v>
      </c>
      <c r="B20" s="63">
        <v>60000</v>
      </c>
      <c r="C20" s="63">
        <v>60000</v>
      </c>
      <c r="D20" s="63">
        <f t="shared" si="1"/>
        <v>0</v>
      </c>
      <c r="E20" s="63">
        <v>0</v>
      </c>
      <c r="F20" s="63">
        <f t="shared" si="2"/>
        <v>0</v>
      </c>
      <c r="G20" s="63">
        <v>0</v>
      </c>
      <c r="H20" s="63">
        <f t="shared" si="3"/>
        <v>0</v>
      </c>
      <c r="I20" s="123" t="s">
        <v>165</v>
      </c>
      <c r="J20" s="107" t="s">
        <v>190</v>
      </c>
    </row>
    <row r="21" spans="1:10" s="56" customFormat="1" ht="30">
      <c r="A21" s="62" t="s">
        <v>96</v>
      </c>
      <c r="B21" s="63">
        <v>0</v>
      </c>
      <c r="C21" s="76">
        <v>1109</v>
      </c>
      <c r="D21" s="63">
        <f t="shared" si="1"/>
        <v>1109</v>
      </c>
      <c r="E21" s="63">
        <v>0</v>
      </c>
      <c r="F21" s="63">
        <f t="shared" si="2"/>
        <v>1109</v>
      </c>
      <c r="G21" s="63">
        <v>0</v>
      </c>
      <c r="H21" s="63">
        <f t="shared" si="3"/>
        <v>1109</v>
      </c>
      <c r="I21" s="129" t="s">
        <v>165</v>
      </c>
      <c r="J21" s="106" t="s">
        <v>130</v>
      </c>
    </row>
    <row r="22" spans="1:10" s="56" customFormat="1" ht="45">
      <c r="A22" s="62" t="s">
        <v>116</v>
      </c>
      <c r="B22" s="63">
        <v>94600</v>
      </c>
      <c r="C22" s="63">
        <v>118501</v>
      </c>
      <c r="D22" s="63">
        <f t="shared" si="1"/>
        <v>23901</v>
      </c>
      <c r="E22" s="63">
        <v>-23900</v>
      </c>
      <c r="F22" s="63">
        <f t="shared" si="2"/>
        <v>1</v>
      </c>
      <c r="G22" s="63">
        <v>0</v>
      </c>
      <c r="H22" s="63">
        <f t="shared" si="3"/>
        <v>1</v>
      </c>
      <c r="I22" s="123" t="s">
        <v>162</v>
      </c>
      <c r="J22" s="107" t="s">
        <v>139</v>
      </c>
    </row>
    <row r="23" spans="1:10" s="56" customFormat="1" ht="30">
      <c r="A23" s="71" t="s">
        <v>84</v>
      </c>
      <c r="B23" s="72">
        <v>1473300</v>
      </c>
      <c r="C23" s="77">
        <v>1424687</v>
      </c>
      <c r="D23" s="63">
        <f t="shared" si="1"/>
        <v>-48613</v>
      </c>
      <c r="E23" s="63">
        <v>48600</v>
      </c>
      <c r="F23" s="63">
        <f t="shared" si="2"/>
        <v>-13</v>
      </c>
      <c r="G23" s="63">
        <v>0</v>
      </c>
      <c r="H23" s="63">
        <f t="shared" si="3"/>
        <v>-13</v>
      </c>
      <c r="I23" s="126" t="s">
        <v>162</v>
      </c>
      <c r="J23" s="108" t="s">
        <v>132</v>
      </c>
    </row>
    <row r="24" spans="1:10" s="56" customFormat="1" ht="15">
      <c r="A24" s="62" t="s">
        <v>28</v>
      </c>
      <c r="B24" s="63">
        <v>0</v>
      </c>
      <c r="C24" s="63">
        <v>-173</v>
      </c>
      <c r="D24" s="63">
        <f t="shared" si="1"/>
        <v>-173</v>
      </c>
      <c r="E24" s="63">
        <v>0</v>
      </c>
      <c r="F24" s="63">
        <f t="shared" si="2"/>
        <v>-173</v>
      </c>
      <c r="G24" s="63">
        <v>0</v>
      </c>
      <c r="H24" s="63">
        <f t="shared" si="3"/>
        <v>-173</v>
      </c>
      <c r="I24" s="129" t="s">
        <v>165</v>
      </c>
      <c r="J24" s="106" t="s">
        <v>131</v>
      </c>
    </row>
    <row r="25" spans="1:10" s="9" customFormat="1" ht="90">
      <c r="A25" s="62" t="s">
        <v>117</v>
      </c>
      <c r="B25" s="63">
        <v>1540000</v>
      </c>
      <c r="C25" s="63">
        <v>1518228</v>
      </c>
      <c r="D25" s="63">
        <f t="shared" si="1"/>
        <v>-21772</v>
      </c>
      <c r="E25" s="63">
        <v>21700</v>
      </c>
      <c r="F25" s="63">
        <f t="shared" si="2"/>
        <v>-72</v>
      </c>
      <c r="G25" s="63">
        <v>0</v>
      </c>
      <c r="H25" s="63">
        <f t="shared" si="3"/>
        <v>-72</v>
      </c>
      <c r="I25" s="123" t="s">
        <v>162</v>
      </c>
      <c r="J25" s="107" t="s">
        <v>151</v>
      </c>
    </row>
    <row r="26" spans="1:10" s="12" customFormat="1" ht="15.75">
      <c r="A26" s="39" t="s">
        <v>36</v>
      </c>
      <c r="B26" s="40">
        <f aca="true" t="shared" si="4" ref="B26:H26">SUM(B12:B25)-B14-B15</f>
        <v>4608900</v>
      </c>
      <c r="C26" s="40">
        <f t="shared" si="4"/>
        <v>4267092</v>
      </c>
      <c r="D26" s="40">
        <f t="shared" si="4"/>
        <v>-341808</v>
      </c>
      <c r="E26" s="40">
        <f t="shared" si="4"/>
        <v>326700</v>
      </c>
      <c r="F26" s="40">
        <f t="shared" si="4"/>
        <v>-15108</v>
      </c>
      <c r="G26" s="40">
        <f t="shared" si="4"/>
        <v>0</v>
      </c>
      <c r="H26" s="40">
        <f t="shared" si="4"/>
        <v>-15108</v>
      </c>
      <c r="I26" s="130"/>
      <c r="J26" s="55"/>
    </row>
    <row r="27" spans="2:10" s="9" customFormat="1" ht="15">
      <c r="B27" s="10"/>
      <c r="C27" s="10"/>
      <c r="D27" s="10"/>
      <c r="E27" s="10"/>
      <c r="F27" s="10"/>
      <c r="G27" s="10"/>
      <c r="H27" s="10"/>
      <c r="I27" s="127"/>
      <c r="J27" s="10"/>
    </row>
    <row r="28" spans="1:11" s="12" customFormat="1" ht="15.75">
      <c r="A28" s="121" t="s">
        <v>160</v>
      </c>
      <c r="B28" s="5"/>
      <c r="C28" s="122"/>
      <c r="D28" s="28"/>
      <c r="E28" s="28"/>
      <c r="F28" s="28"/>
      <c r="G28" s="28"/>
      <c r="H28" s="28"/>
      <c r="I28" s="26"/>
      <c r="J28" s="28"/>
      <c r="K28" s="120"/>
    </row>
    <row r="29" spans="1:11" s="12" customFormat="1" ht="15.75">
      <c r="A29" s="5" t="s">
        <v>161</v>
      </c>
      <c r="B29" s="5"/>
      <c r="D29" s="28"/>
      <c r="E29" s="28"/>
      <c r="F29" s="28"/>
      <c r="G29" s="28"/>
      <c r="H29" s="28"/>
      <c r="I29" s="26"/>
      <c r="J29" s="122"/>
      <c r="K29" s="120"/>
    </row>
    <row r="30" spans="1:11" s="12" customFormat="1" ht="15.75">
      <c r="A30" s="5" t="s">
        <v>163</v>
      </c>
      <c r="B30" s="5"/>
      <c r="D30" s="28"/>
      <c r="E30" s="28"/>
      <c r="F30" s="28"/>
      <c r="G30" s="28"/>
      <c r="H30" s="28"/>
      <c r="I30" s="26"/>
      <c r="J30" s="122"/>
      <c r="K30" s="120"/>
    </row>
    <row r="31" spans="1:11" s="12" customFormat="1" ht="15.75">
      <c r="A31" s="5" t="s">
        <v>164</v>
      </c>
      <c r="B31" s="5"/>
      <c r="D31" s="28"/>
      <c r="E31" s="28"/>
      <c r="F31" s="28"/>
      <c r="G31" s="28"/>
      <c r="H31" s="28"/>
      <c r="I31" s="26"/>
      <c r="J31" s="122"/>
      <c r="K31" s="120"/>
    </row>
  </sheetData>
  <sheetProtection/>
  <mergeCells count="2">
    <mergeCell ref="J13:J17"/>
    <mergeCell ref="I13:I17"/>
  </mergeCells>
  <printOptions/>
  <pageMargins left="0.7480314960629921" right="0.7480314960629921" top="0.984251968503937" bottom="0.984251968503937" header="0.5118110236220472" footer="0.5118110236220472"/>
  <pageSetup fitToHeight="0" horizontalDpi="600" verticalDpi="600" orientation="landscape" paperSize="9" scale="6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21"/>
  <sheetViews>
    <sheetView zoomScale="90" zoomScaleNormal="90" zoomScalePageLayoutView="0" workbookViewId="0" topLeftCell="A1">
      <selection activeCell="F17" sqref="F17"/>
    </sheetView>
  </sheetViews>
  <sheetFormatPr defaultColWidth="9.140625" defaultRowHeight="12.75"/>
  <cols>
    <col min="1" max="1" width="32.00390625" style="5" customWidth="1"/>
    <col min="2" max="2" width="10.421875" style="3" bestFit="1" customWidth="1"/>
    <col min="3" max="3" width="14.8515625" style="3" bestFit="1" customWidth="1"/>
    <col min="4" max="4" width="11.8515625" style="3" bestFit="1" customWidth="1"/>
    <col min="5" max="5" width="13.00390625" style="3" bestFit="1" customWidth="1"/>
    <col min="6" max="6" width="13.00390625" style="3" customWidth="1"/>
    <col min="7" max="7" width="13.00390625" style="3" hidden="1" customWidth="1"/>
    <col min="8" max="8" width="11.140625" style="3" hidden="1" customWidth="1"/>
    <col min="9" max="9" width="11.00390625" style="3" customWidth="1"/>
    <col min="10" max="10" width="57.00390625" style="5" customWidth="1"/>
    <col min="11" max="16384" width="9.140625" style="5" customWidth="1"/>
  </cols>
  <sheetData>
    <row r="1" spans="1:10" ht="15.75">
      <c r="A1" s="17" t="s">
        <v>101</v>
      </c>
      <c r="J1" s="4" t="s">
        <v>57</v>
      </c>
    </row>
    <row r="2" ht="15">
      <c r="A2" s="3"/>
    </row>
    <row r="3" ht="15.75">
      <c r="A3" s="17" t="s">
        <v>41</v>
      </c>
    </row>
    <row r="4" ht="15.75">
      <c r="A4" s="17"/>
    </row>
    <row r="5" ht="15.75">
      <c r="A5" s="17" t="s">
        <v>102</v>
      </c>
    </row>
    <row r="7" spans="1:10" s="6" customFormat="1" ht="15.75">
      <c r="A7" s="140" t="s">
        <v>0</v>
      </c>
      <c r="B7" s="132" t="s">
        <v>3</v>
      </c>
      <c r="C7" s="132" t="s">
        <v>5</v>
      </c>
      <c r="D7" s="132" t="s">
        <v>198</v>
      </c>
      <c r="E7" s="132" t="s">
        <v>9</v>
      </c>
      <c r="F7" s="132" t="s">
        <v>8</v>
      </c>
      <c r="G7" s="132" t="s">
        <v>9</v>
      </c>
      <c r="H7" s="132" t="s">
        <v>8</v>
      </c>
      <c r="I7" s="132" t="s">
        <v>157</v>
      </c>
      <c r="J7" s="133"/>
    </row>
    <row r="8" spans="1:10" s="6" customFormat="1" ht="15.75">
      <c r="A8" s="134"/>
      <c r="B8" s="135" t="s">
        <v>1</v>
      </c>
      <c r="C8" s="135" t="s">
        <v>10</v>
      </c>
      <c r="D8" s="135" t="s">
        <v>6</v>
      </c>
      <c r="E8" s="135" t="s">
        <v>13</v>
      </c>
      <c r="F8" s="135" t="s">
        <v>6</v>
      </c>
      <c r="G8" s="135" t="s">
        <v>13</v>
      </c>
      <c r="H8" s="135" t="s">
        <v>6</v>
      </c>
      <c r="I8" s="135" t="s">
        <v>158</v>
      </c>
      <c r="J8" s="136" t="s">
        <v>11</v>
      </c>
    </row>
    <row r="9" spans="1:10" s="6" customFormat="1" ht="15.75">
      <c r="A9" s="134"/>
      <c r="B9" s="135" t="s">
        <v>4</v>
      </c>
      <c r="C9" s="137" t="s">
        <v>53</v>
      </c>
      <c r="D9" s="137" t="s">
        <v>53</v>
      </c>
      <c r="E9" s="135" t="s">
        <v>196</v>
      </c>
      <c r="F9" s="135"/>
      <c r="G9" s="135" t="s">
        <v>197</v>
      </c>
      <c r="H9" s="137"/>
      <c r="I9" s="135" t="s">
        <v>46</v>
      </c>
      <c r="J9" s="136"/>
    </row>
    <row r="10" spans="1:10" s="6" customFormat="1" ht="15.75">
      <c r="A10" s="134"/>
      <c r="B10" s="137" t="s">
        <v>53</v>
      </c>
      <c r="C10" s="137"/>
      <c r="D10" s="137"/>
      <c r="E10" s="135"/>
      <c r="F10" s="135"/>
      <c r="G10" s="135"/>
      <c r="H10" s="137"/>
      <c r="I10" s="135" t="s">
        <v>126</v>
      </c>
      <c r="J10" s="136"/>
    </row>
    <row r="11" spans="1:10" ht="15.75">
      <c r="A11" s="138"/>
      <c r="B11" s="139" t="s">
        <v>15</v>
      </c>
      <c r="C11" s="139" t="s">
        <v>15</v>
      </c>
      <c r="D11" s="139" t="s">
        <v>15</v>
      </c>
      <c r="E11" s="139" t="s">
        <v>15</v>
      </c>
      <c r="F11" s="139" t="s">
        <v>15</v>
      </c>
      <c r="G11" s="139" t="s">
        <v>15</v>
      </c>
      <c r="H11" s="139" t="s">
        <v>15</v>
      </c>
      <c r="I11" s="139" t="s">
        <v>159</v>
      </c>
      <c r="J11" s="138"/>
    </row>
    <row r="12" spans="1:10" s="56" customFormat="1" ht="75">
      <c r="A12" s="62" t="s">
        <v>16</v>
      </c>
      <c r="B12" s="63">
        <v>29700</v>
      </c>
      <c r="C12" s="63">
        <v>0</v>
      </c>
      <c r="D12" s="63">
        <f>+C12-B12</f>
        <v>-29700</v>
      </c>
      <c r="E12" s="63">
        <v>29700</v>
      </c>
      <c r="F12" s="63">
        <f>SUM(D12:E12)</f>
        <v>0</v>
      </c>
      <c r="G12" s="63">
        <v>0</v>
      </c>
      <c r="H12" s="63">
        <f>SUM(F12:G12)</f>
        <v>0</v>
      </c>
      <c r="I12" s="123" t="s">
        <v>162</v>
      </c>
      <c r="J12" s="107" t="s">
        <v>140</v>
      </c>
    </row>
    <row r="13" spans="1:10" s="12" customFormat="1" ht="15.75">
      <c r="A13" s="11" t="s">
        <v>36</v>
      </c>
      <c r="B13" s="41">
        <f aca="true" t="shared" si="0" ref="B13:H13">SUM(B12:B12)</f>
        <v>29700</v>
      </c>
      <c r="C13" s="41">
        <f t="shared" si="0"/>
        <v>0</v>
      </c>
      <c r="D13" s="41">
        <f t="shared" si="0"/>
        <v>-29700</v>
      </c>
      <c r="E13" s="41">
        <f t="shared" si="0"/>
        <v>29700</v>
      </c>
      <c r="F13" s="41">
        <f t="shared" si="0"/>
        <v>0</v>
      </c>
      <c r="G13" s="41">
        <f t="shared" si="0"/>
        <v>0</v>
      </c>
      <c r="H13" s="41">
        <f t="shared" si="0"/>
        <v>0</v>
      </c>
      <c r="I13" s="41"/>
      <c r="J13" s="55"/>
    </row>
    <row r="14" spans="2:10" s="9" customFormat="1" ht="15">
      <c r="B14" s="10"/>
      <c r="C14" s="10"/>
      <c r="D14" s="10"/>
      <c r="E14" s="10"/>
      <c r="F14" s="10"/>
      <c r="G14" s="10"/>
      <c r="H14" s="10"/>
      <c r="I14" s="10"/>
      <c r="J14" s="10"/>
    </row>
    <row r="15" spans="1:11" s="12" customFormat="1" ht="15.75">
      <c r="A15" s="121" t="s">
        <v>160</v>
      </c>
      <c r="B15" s="5"/>
      <c r="C15" s="122"/>
      <c r="D15" s="28"/>
      <c r="E15" s="28"/>
      <c r="F15" s="28"/>
      <c r="G15" s="28"/>
      <c r="H15" s="28"/>
      <c r="I15" s="28"/>
      <c r="J15" s="28"/>
      <c r="K15" s="120"/>
    </row>
    <row r="16" spans="1:11" s="12" customFormat="1" ht="15.75">
      <c r="A16" s="5" t="s">
        <v>161</v>
      </c>
      <c r="B16" s="5"/>
      <c r="D16" s="28"/>
      <c r="E16" s="28"/>
      <c r="F16" s="28"/>
      <c r="G16" s="28"/>
      <c r="H16" s="28"/>
      <c r="I16" s="28"/>
      <c r="J16" s="122"/>
      <c r="K16" s="120"/>
    </row>
    <row r="17" spans="1:11" s="12" customFormat="1" ht="15.75">
      <c r="A17" s="5" t="s">
        <v>163</v>
      </c>
      <c r="B17" s="5"/>
      <c r="D17" s="28"/>
      <c r="E17" s="28"/>
      <c r="F17" s="28"/>
      <c r="G17" s="28"/>
      <c r="H17" s="28"/>
      <c r="I17" s="28"/>
      <c r="J17" s="122"/>
      <c r="K17" s="120"/>
    </row>
    <row r="18" spans="1:11" s="12" customFormat="1" ht="15.75">
      <c r="A18" s="5" t="s">
        <v>164</v>
      </c>
      <c r="B18" s="5"/>
      <c r="D18" s="28"/>
      <c r="E18" s="28"/>
      <c r="F18" s="28"/>
      <c r="G18" s="28"/>
      <c r="H18" s="28"/>
      <c r="I18" s="28"/>
      <c r="J18" s="122"/>
      <c r="K18" s="120"/>
    </row>
    <row r="20" spans="1:9" ht="15">
      <c r="A20" s="13"/>
      <c r="B20" s="14"/>
      <c r="C20" s="14"/>
      <c r="D20" s="14"/>
      <c r="E20" s="14"/>
      <c r="F20" s="14"/>
      <c r="G20" s="14"/>
      <c r="H20" s="14"/>
      <c r="I20" s="14"/>
    </row>
    <row r="21" spans="1:9" ht="15">
      <c r="A21" s="13"/>
      <c r="B21" s="14"/>
      <c r="C21" s="14"/>
      <c r="D21" s="14"/>
      <c r="E21" s="14"/>
      <c r="F21" s="14"/>
      <c r="G21" s="14"/>
      <c r="H21" s="14"/>
      <c r="I21" s="14"/>
    </row>
  </sheetData>
  <sheetProtection/>
  <printOptions/>
  <pageMargins left="0.75" right="0.75" top="1" bottom="1" header="0.5" footer="0.5"/>
  <pageSetup fitToHeight="2"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zoomScale="90" zoomScaleNormal="90" zoomScalePageLayoutView="0" workbookViewId="0" topLeftCell="A1">
      <selection activeCell="A2" sqref="A2"/>
    </sheetView>
  </sheetViews>
  <sheetFormatPr defaultColWidth="9.140625" defaultRowHeight="12.75"/>
  <cols>
    <col min="1" max="1" width="44.7109375" style="5" bestFit="1" customWidth="1"/>
    <col min="2" max="6" width="14.00390625" style="3" customWidth="1"/>
    <col min="7" max="7" width="1.7109375" style="10" customWidth="1"/>
    <col min="8" max="16384" width="9.140625" style="5" customWidth="1"/>
  </cols>
  <sheetData>
    <row r="1" spans="1:6" ht="15.75">
      <c r="A1" s="1" t="s">
        <v>103</v>
      </c>
      <c r="B1" s="2"/>
      <c r="F1" s="34" t="s">
        <v>60</v>
      </c>
    </row>
    <row r="2" ht="15.75" thickBot="1"/>
    <row r="3" spans="1:7" s="6" customFormat="1" ht="15.75">
      <c r="A3" s="141" t="s">
        <v>0</v>
      </c>
      <c r="B3" s="142" t="s">
        <v>42</v>
      </c>
      <c r="C3" s="143" t="s">
        <v>9</v>
      </c>
      <c r="D3" s="143" t="s">
        <v>125</v>
      </c>
      <c r="E3" s="143" t="s">
        <v>137</v>
      </c>
      <c r="F3" s="144" t="s">
        <v>50</v>
      </c>
      <c r="G3" s="26"/>
    </row>
    <row r="4" spans="1:7" s="6" customFormat="1" ht="15.75">
      <c r="A4" s="145"/>
      <c r="B4" s="146" t="s">
        <v>51</v>
      </c>
      <c r="C4" s="135" t="s">
        <v>13</v>
      </c>
      <c r="D4" s="135" t="s">
        <v>126</v>
      </c>
      <c r="E4" s="135" t="s">
        <v>138</v>
      </c>
      <c r="F4" s="147" t="s">
        <v>51</v>
      </c>
      <c r="G4" s="26"/>
    </row>
    <row r="5" spans="1:7" s="6" customFormat="1" ht="15.75">
      <c r="A5" s="145"/>
      <c r="B5" s="146" t="s">
        <v>52</v>
      </c>
      <c r="C5" s="135" t="s">
        <v>74</v>
      </c>
      <c r="D5" s="135" t="s">
        <v>127</v>
      </c>
      <c r="E5" s="135"/>
      <c r="F5" s="147" t="s">
        <v>52</v>
      </c>
      <c r="G5" s="26"/>
    </row>
    <row r="6" spans="1:7" s="6" customFormat="1" ht="15.75">
      <c r="A6" s="145"/>
      <c r="B6" s="148" t="s">
        <v>75</v>
      </c>
      <c r="C6" s="149" t="s">
        <v>53</v>
      </c>
      <c r="D6" s="149" t="s">
        <v>76</v>
      </c>
      <c r="E6" s="149"/>
      <c r="F6" s="150" t="s">
        <v>75</v>
      </c>
      <c r="G6" s="27"/>
    </row>
    <row r="7" spans="1:7" ht="16.5" thickBot="1">
      <c r="A7" s="151"/>
      <c r="B7" s="152" t="s">
        <v>15</v>
      </c>
      <c r="C7" s="153" t="s">
        <v>15</v>
      </c>
      <c r="D7" s="153" t="s">
        <v>15</v>
      </c>
      <c r="E7" s="153" t="s">
        <v>15</v>
      </c>
      <c r="F7" s="154" t="s">
        <v>15</v>
      </c>
      <c r="G7" s="26"/>
    </row>
    <row r="8" spans="1:7" ht="15.75">
      <c r="A8" s="42" t="s">
        <v>85</v>
      </c>
      <c r="B8" s="19"/>
      <c r="C8" s="20"/>
      <c r="D8" s="20"/>
      <c r="E8" s="20"/>
      <c r="F8" s="21"/>
      <c r="G8" s="26"/>
    </row>
    <row r="9" spans="1:7" s="9" customFormat="1" ht="15">
      <c r="A9" s="79" t="s">
        <v>67</v>
      </c>
      <c r="B9" s="80">
        <v>49600</v>
      </c>
      <c r="C9" s="78"/>
      <c r="D9" s="78"/>
      <c r="E9" s="78"/>
      <c r="F9" s="92">
        <f aca="true" t="shared" si="0" ref="F9:F15">SUM(B9:E9)</f>
        <v>49600</v>
      </c>
      <c r="G9" s="10"/>
    </row>
    <row r="10" spans="1:7" s="9" customFormat="1" ht="15">
      <c r="A10" s="79" t="s">
        <v>34</v>
      </c>
      <c r="B10" s="80"/>
      <c r="C10" s="78">
        <v>234000</v>
      </c>
      <c r="D10" s="78"/>
      <c r="E10" s="78"/>
      <c r="F10" s="92">
        <f t="shared" si="0"/>
        <v>234000</v>
      </c>
      <c r="G10" s="10"/>
    </row>
    <row r="11" spans="1:6" ht="15">
      <c r="A11" s="79" t="s">
        <v>121</v>
      </c>
      <c r="B11" s="80">
        <v>3081000</v>
      </c>
      <c r="C11" s="78">
        <v>-23900</v>
      </c>
      <c r="D11" s="78"/>
      <c r="E11" s="78"/>
      <c r="F11" s="92">
        <f t="shared" si="0"/>
        <v>3057100</v>
      </c>
    </row>
    <row r="12" spans="1:7" s="9" customFormat="1" ht="15">
      <c r="A12" s="79" t="s">
        <v>86</v>
      </c>
      <c r="B12" s="80">
        <f>160000+8000</f>
        <v>168000</v>
      </c>
      <c r="C12" s="78">
        <f>21700-21700</f>
        <v>0</v>
      </c>
      <c r="D12" s="78"/>
      <c r="E12" s="78"/>
      <c r="F12" s="92">
        <f t="shared" si="0"/>
        <v>168000</v>
      </c>
      <c r="G12" s="10"/>
    </row>
    <row r="13" spans="1:6" ht="15">
      <c r="A13" s="79" t="s">
        <v>117</v>
      </c>
      <c r="B13" s="80">
        <f>256000</f>
        <v>256000</v>
      </c>
      <c r="C13" s="78">
        <v>21700</v>
      </c>
      <c r="D13" s="78"/>
      <c r="E13" s="78"/>
      <c r="F13" s="92">
        <f t="shared" si="0"/>
        <v>277700</v>
      </c>
    </row>
    <row r="14" spans="1:6" ht="15">
      <c r="A14" s="79" t="s">
        <v>114</v>
      </c>
      <c r="B14" s="80">
        <f>132900</f>
        <v>132900</v>
      </c>
      <c r="C14" s="78">
        <v>-21500</v>
      </c>
      <c r="D14" s="78"/>
      <c r="E14" s="78"/>
      <c r="F14" s="92">
        <f>SUM(B14:E14)</f>
        <v>111400</v>
      </c>
    </row>
    <row r="15" spans="1:6" ht="15.75" thickBot="1">
      <c r="A15" s="79" t="s">
        <v>25</v>
      </c>
      <c r="B15" s="80"/>
      <c r="C15" s="78">
        <v>45000</v>
      </c>
      <c r="D15" s="78"/>
      <c r="E15" s="78"/>
      <c r="F15" s="92">
        <f t="shared" si="0"/>
        <v>45000</v>
      </c>
    </row>
    <row r="16" spans="1:7" s="12" customFormat="1" ht="16.5" thickBot="1">
      <c r="A16" s="43"/>
      <c r="B16" s="44">
        <f>SUM(B9:B15)</f>
        <v>3687500</v>
      </c>
      <c r="C16" s="45">
        <f>SUM(C9:C15)</f>
        <v>255300</v>
      </c>
      <c r="D16" s="45">
        <f>SUM(D9:D15)</f>
        <v>0</v>
      </c>
      <c r="E16" s="45">
        <f>SUM(E9:E15)</f>
        <v>0</v>
      </c>
      <c r="F16" s="93">
        <f>SUM(F9:F15)</f>
        <v>3942800</v>
      </c>
      <c r="G16" s="28"/>
    </row>
    <row r="17" spans="1:7" ht="15.75">
      <c r="A17" s="81" t="s">
        <v>87</v>
      </c>
      <c r="B17" s="22"/>
      <c r="C17" s="7"/>
      <c r="D17" s="7"/>
      <c r="E17" s="7"/>
      <c r="F17" s="23"/>
      <c r="G17" s="26"/>
    </row>
    <row r="18" spans="1:7" s="9" customFormat="1" ht="15">
      <c r="A18" s="79" t="s">
        <v>193</v>
      </c>
      <c r="B18" s="80">
        <v>300000</v>
      </c>
      <c r="C18" s="78"/>
      <c r="D18" s="78"/>
      <c r="E18" s="78"/>
      <c r="F18" s="92">
        <f>SUM(B18:E18)</f>
        <v>300000</v>
      </c>
      <c r="G18" s="10"/>
    </row>
    <row r="19" spans="1:7" s="9" customFormat="1" ht="15">
      <c r="A19" s="79" t="s">
        <v>94</v>
      </c>
      <c r="B19" s="80">
        <f>100000+40000</f>
        <v>140000</v>
      </c>
      <c r="C19" s="78">
        <v>44500</v>
      </c>
      <c r="D19" s="78"/>
      <c r="E19" s="78"/>
      <c r="F19" s="92">
        <f>SUM(B19:E19)</f>
        <v>184500</v>
      </c>
      <c r="G19" s="10"/>
    </row>
    <row r="20" spans="1:7" s="9" customFormat="1" ht="15">
      <c r="A20" s="79" t="s">
        <v>118</v>
      </c>
      <c r="B20" s="80">
        <v>300000</v>
      </c>
      <c r="C20" s="78"/>
      <c r="D20" s="78"/>
      <c r="E20" s="78"/>
      <c r="F20" s="92">
        <f>SUM(B20:E20)</f>
        <v>300000</v>
      </c>
      <c r="G20" s="10"/>
    </row>
    <row r="21" spans="1:7" s="9" customFormat="1" ht="15">
      <c r="A21" s="79" t="s">
        <v>122</v>
      </c>
      <c r="B21" s="80"/>
      <c r="C21" s="78">
        <v>11300</v>
      </c>
      <c r="D21" s="78"/>
      <c r="E21" s="78"/>
      <c r="F21" s="92">
        <f>SUM(B21:E21)</f>
        <v>11300</v>
      </c>
      <c r="G21" s="10"/>
    </row>
    <row r="22" spans="1:7" s="9" customFormat="1" ht="15">
      <c r="A22" s="79" t="s">
        <v>95</v>
      </c>
      <c r="B22" s="80">
        <v>200000</v>
      </c>
      <c r="C22" s="78"/>
      <c r="D22" s="78"/>
      <c r="E22" s="78"/>
      <c r="F22" s="92">
        <f>SUM(B22:E22)</f>
        <v>200000</v>
      </c>
      <c r="G22" s="10"/>
    </row>
    <row r="23" spans="1:7" s="9" customFormat="1" ht="15">
      <c r="A23" s="79" t="s">
        <v>88</v>
      </c>
      <c r="B23" s="80">
        <f>300000+58700</f>
        <v>358700</v>
      </c>
      <c r="C23" s="78">
        <f>12000+2700</f>
        <v>14700</v>
      </c>
      <c r="D23" s="78"/>
      <c r="E23" s="78"/>
      <c r="F23" s="92">
        <f aca="true" t="shared" si="1" ref="F23:F29">SUM(B23:E23)</f>
        <v>373400</v>
      </c>
      <c r="G23" s="10"/>
    </row>
    <row r="24" spans="1:7" s="9" customFormat="1" ht="15">
      <c r="A24" s="79" t="s">
        <v>19</v>
      </c>
      <c r="B24" s="80">
        <v>135000</v>
      </c>
      <c r="C24" s="78">
        <v>4000</v>
      </c>
      <c r="D24" s="78"/>
      <c r="E24" s="78"/>
      <c r="F24" s="92">
        <f t="shared" si="1"/>
        <v>139000</v>
      </c>
      <c r="G24" s="10"/>
    </row>
    <row r="25" spans="1:7" s="9" customFormat="1" ht="15">
      <c r="A25" s="79" t="s">
        <v>18</v>
      </c>
      <c r="B25" s="80"/>
      <c r="C25" s="78">
        <v>499100</v>
      </c>
      <c r="D25" s="78"/>
      <c r="E25" s="78"/>
      <c r="F25" s="92">
        <f t="shared" si="1"/>
        <v>499100</v>
      </c>
      <c r="G25" s="10"/>
    </row>
    <row r="26" spans="1:7" s="9" customFormat="1" ht="15">
      <c r="A26" s="82" t="s">
        <v>29</v>
      </c>
      <c r="B26" s="83">
        <v>50000</v>
      </c>
      <c r="C26" s="84">
        <f>158800-23800</f>
        <v>135000</v>
      </c>
      <c r="D26" s="84"/>
      <c r="E26" s="84"/>
      <c r="F26" s="94">
        <f t="shared" si="1"/>
        <v>185000</v>
      </c>
      <c r="G26" s="10"/>
    </row>
    <row r="27" spans="1:6" ht="15">
      <c r="A27" s="79" t="s">
        <v>23</v>
      </c>
      <c r="B27" s="80">
        <f>315500+66000</f>
        <v>381500</v>
      </c>
      <c r="C27" s="78">
        <v>35700</v>
      </c>
      <c r="D27" s="78">
        <v>6000</v>
      </c>
      <c r="E27" s="78">
        <f>2400+1800</f>
        <v>4200</v>
      </c>
      <c r="F27" s="92">
        <f t="shared" si="1"/>
        <v>427400</v>
      </c>
    </row>
    <row r="28" spans="1:6" ht="15">
      <c r="A28" s="79" t="s">
        <v>112</v>
      </c>
      <c r="B28" s="80">
        <f>457500-132900+55400</f>
        <v>380000</v>
      </c>
      <c r="C28" s="78">
        <v>104700</v>
      </c>
      <c r="D28" s="78"/>
      <c r="E28" s="78"/>
      <c r="F28" s="92">
        <f t="shared" si="1"/>
        <v>484700</v>
      </c>
    </row>
    <row r="29" spans="1:7" s="9" customFormat="1" ht="15.75" thickBot="1">
      <c r="A29" s="79" t="s">
        <v>89</v>
      </c>
      <c r="B29" s="80">
        <f>35000+35000</f>
        <v>70000</v>
      </c>
      <c r="C29" s="78"/>
      <c r="D29" s="78"/>
      <c r="E29" s="78"/>
      <c r="F29" s="92">
        <f t="shared" si="1"/>
        <v>70000</v>
      </c>
      <c r="G29" s="10"/>
    </row>
    <row r="30" spans="1:6" ht="16.5" thickBot="1">
      <c r="A30" s="85"/>
      <c r="B30" s="44">
        <f>SUM(B18:B29)</f>
        <v>2315200</v>
      </c>
      <c r="C30" s="45">
        <f>SUM(C18:C29)</f>
        <v>849000</v>
      </c>
      <c r="D30" s="45">
        <f>SUM(D18:D29)</f>
        <v>6000</v>
      </c>
      <c r="E30" s="45">
        <f>SUM(E18:E29)</f>
        <v>4200</v>
      </c>
      <c r="F30" s="93">
        <f>SUM(F18:F29)</f>
        <v>3174400</v>
      </c>
    </row>
    <row r="31" spans="1:6" ht="15.75">
      <c r="A31" s="86" t="s">
        <v>90</v>
      </c>
      <c r="B31" s="87"/>
      <c r="C31" s="78"/>
      <c r="D31" s="78"/>
      <c r="E31" s="78"/>
      <c r="F31" s="95"/>
    </row>
    <row r="32" spans="1:6" ht="15">
      <c r="A32" s="79" t="s">
        <v>119</v>
      </c>
      <c r="B32" s="80">
        <v>200000</v>
      </c>
      <c r="C32" s="78"/>
      <c r="D32" s="78"/>
      <c r="E32" s="78"/>
      <c r="F32" s="92">
        <f>SUM(B32:E32)</f>
        <v>200000</v>
      </c>
    </row>
    <row r="33" spans="1:6" ht="15">
      <c r="A33" s="79" t="s">
        <v>120</v>
      </c>
      <c r="B33" s="80">
        <f>820000+150000</f>
        <v>970000</v>
      </c>
      <c r="C33" s="78"/>
      <c r="D33" s="78"/>
      <c r="E33" s="78"/>
      <c r="F33" s="92">
        <f>SUM(B33:E33)</f>
        <v>970000</v>
      </c>
    </row>
    <row r="34" spans="1:6" ht="15.75" thickBot="1">
      <c r="A34" s="79" t="s">
        <v>111</v>
      </c>
      <c r="B34" s="80">
        <f>2060000+57000</f>
        <v>2117000</v>
      </c>
      <c r="C34" s="78">
        <v>-128500</v>
      </c>
      <c r="D34" s="78"/>
      <c r="E34" s="78"/>
      <c r="F34" s="92">
        <f>SUM(B34:E34)</f>
        <v>1988500</v>
      </c>
    </row>
    <row r="35" spans="1:7" s="9" customFormat="1" ht="16.5" thickBot="1">
      <c r="A35" s="85"/>
      <c r="B35" s="46">
        <f>SUM(B32:B34)</f>
        <v>3287000</v>
      </c>
      <c r="C35" s="46">
        <f>SUM(C32:C34)</f>
        <v>-128500</v>
      </c>
      <c r="D35" s="46">
        <f>SUM(D32:D34)</f>
        <v>0</v>
      </c>
      <c r="E35" s="46">
        <f>SUM(E32:E34)</f>
        <v>0</v>
      </c>
      <c r="F35" s="50">
        <f>SUM(F32:F34)</f>
        <v>3158500</v>
      </c>
      <c r="G35" s="10"/>
    </row>
    <row r="36" spans="1:7" ht="15.75">
      <c r="A36" s="81" t="s">
        <v>97</v>
      </c>
      <c r="B36" s="22"/>
      <c r="C36" s="7"/>
      <c r="D36" s="7"/>
      <c r="E36" s="7"/>
      <c r="F36" s="23"/>
      <c r="G36" s="26"/>
    </row>
    <row r="37" spans="1:7" s="9" customFormat="1" ht="15.75" thickBot="1">
      <c r="A37" s="79" t="s">
        <v>21</v>
      </c>
      <c r="B37" s="80">
        <v>1249000</v>
      </c>
      <c r="C37" s="78">
        <v>224500</v>
      </c>
      <c r="D37" s="78"/>
      <c r="E37" s="78"/>
      <c r="F37" s="92">
        <f>SUM(B37:E37)</f>
        <v>1473500</v>
      </c>
      <c r="G37" s="10"/>
    </row>
    <row r="38" spans="1:7" s="9" customFormat="1" ht="16.5" thickBot="1">
      <c r="A38" s="85"/>
      <c r="B38" s="46">
        <f>SUM(B37:B37)</f>
        <v>1249000</v>
      </c>
      <c r="C38" s="46">
        <f>SUM(C37:C37)</f>
        <v>224500</v>
      </c>
      <c r="D38" s="46">
        <f>SUM(D37:D37)</f>
        <v>0</v>
      </c>
      <c r="E38" s="46">
        <f>SUM(E37:E37)</f>
        <v>0</v>
      </c>
      <c r="F38" s="50">
        <f>SUM(F37:F37)</f>
        <v>1473500</v>
      </c>
      <c r="G38" s="10"/>
    </row>
    <row r="39" spans="1:7" s="9" customFormat="1" ht="15.75">
      <c r="A39" s="81" t="s">
        <v>58</v>
      </c>
      <c r="B39" s="88"/>
      <c r="C39" s="89"/>
      <c r="D39" s="89"/>
      <c r="E39" s="89"/>
      <c r="F39" s="96"/>
      <c r="G39" s="10"/>
    </row>
    <row r="40" spans="1:7" s="9" customFormat="1" ht="15">
      <c r="A40" s="79" t="s">
        <v>16</v>
      </c>
      <c r="B40" s="80"/>
      <c r="C40" s="78">
        <v>29700</v>
      </c>
      <c r="D40" s="78"/>
      <c r="E40" s="78"/>
      <c r="F40" s="92">
        <f aca="true" t="shared" si="2" ref="F40:F50">SUM(B40:E40)</f>
        <v>29700</v>
      </c>
      <c r="G40" s="10"/>
    </row>
    <row r="41" spans="1:6" ht="15">
      <c r="A41" s="79" t="s">
        <v>91</v>
      </c>
      <c r="B41" s="80"/>
      <c r="C41" s="78">
        <v>48600</v>
      </c>
      <c r="D41" s="78"/>
      <c r="E41" s="78"/>
      <c r="F41" s="92">
        <f t="shared" si="2"/>
        <v>48600</v>
      </c>
    </row>
    <row r="42" spans="1:6" ht="15">
      <c r="A42" s="79" t="s">
        <v>83</v>
      </c>
      <c r="B42" s="80">
        <v>75700</v>
      </c>
      <c r="C42" s="78">
        <v>-29500</v>
      </c>
      <c r="D42" s="78"/>
      <c r="E42" s="78"/>
      <c r="F42" s="92">
        <f t="shared" si="2"/>
        <v>46200</v>
      </c>
    </row>
    <row r="43" spans="1:7" s="9" customFormat="1" ht="15">
      <c r="A43" s="79" t="s">
        <v>123</v>
      </c>
      <c r="B43" s="80"/>
      <c r="C43" s="78">
        <v>135500</v>
      </c>
      <c r="D43" s="78"/>
      <c r="E43" s="78"/>
      <c r="F43" s="92">
        <f t="shared" si="2"/>
        <v>135500</v>
      </c>
      <c r="G43" s="10"/>
    </row>
    <row r="44" spans="1:7" s="9" customFormat="1" ht="15">
      <c r="A44" s="79" t="s">
        <v>92</v>
      </c>
      <c r="B44" s="80"/>
      <c r="C44" s="78">
        <v>600</v>
      </c>
      <c r="D44" s="78"/>
      <c r="E44" s="78"/>
      <c r="F44" s="92">
        <f t="shared" si="2"/>
        <v>600</v>
      </c>
      <c r="G44" s="10"/>
    </row>
    <row r="45" spans="1:6" ht="15">
      <c r="A45" s="79" t="s">
        <v>69</v>
      </c>
      <c r="B45" s="80"/>
      <c r="C45" s="78">
        <v>1300</v>
      </c>
      <c r="D45" s="78"/>
      <c r="E45" s="78"/>
      <c r="F45" s="92">
        <f t="shared" si="2"/>
        <v>1300</v>
      </c>
    </row>
    <row r="46" spans="1:6" ht="15">
      <c r="A46" s="79" t="s">
        <v>70</v>
      </c>
      <c r="B46" s="80"/>
      <c r="C46" s="78">
        <v>4000</v>
      </c>
      <c r="D46" s="78"/>
      <c r="E46" s="78"/>
      <c r="F46" s="92">
        <f t="shared" si="2"/>
        <v>4000</v>
      </c>
    </row>
    <row r="47" spans="1:6" ht="15">
      <c r="A47" s="79" t="s">
        <v>71</v>
      </c>
      <c r="B47" s="80"/>
      <c r="C47" s="78">
        <v>12100</v>
      </c>
      <c r="D47" s="78"/>
      <c r="E47" s="78"/>
      <c r="F47" s="92">
        <f t="shared" si="2"/>
        <v>12100</v>
      </c>
    </row>
    <row r="48" spans="1:6" ht="15">
      <c r="A48" s="79" t="s">
        <v>72</v>
      </c>
      <c r="B48" s="80">
        <v>719800</v>
      </c>
      <c r="C48" s="78"/>
      <c r="D48" s="78"/>
      <c r="E48" s="78"/>
      <c r="F48" s="92">
        <f t="shared" si="2"/>
        <v>719800</v>
      </c>
    </row>
    <row r="49" spans="1:6" ht="15">
      <c r="A49" s="79" t="s">
        <v>124</v>
      </c>
      <c r="B49" s="80"/>
      <c r="C49" s="78">
        <v>6000</v>
      </c>
      <c r="D49" s="78"/>
      <c r="E49" s="78"/>
      <c r="F49" s="92">
        <f t="shared" si="2"/>
        <v>6000</v>
      </c>
    </row>
    <row r="50" spans="1:7" s="9" customFormat="1" ht="15.75" thickBot="1">
      <c r="A50" s="79" t="s">
        <v>30</v>
      </c>
      <c r="B50" s="80"/>
      <c r="C50" s="78">
        <v>24700</v>
      </c>
      <c r="D50" s="78"/>
      <c r="E50" s="78"/>
      <c r="F50" s="92">
        <f t="shared" si="2"/>
        <v>24700</v>
      </c>
      <c r="G50" s="10"/>
    </row>
    <row r="51" spans="1:7" s="12" customFormat="1" ht="16.5" thickBot="1">
      <c r="A51" s="43"/>
      <c r="B51" s="44">
        <f>SUM(B40:B50)</f>
        <v>795500</v>
      </c>
      <c r="C51" s="45">
        <f>SUM(C40:C50)</f>
        <v>233000</v>
      </c>
      <c r="D51" s="45">
        <f>SUM(D40:D50)</f>
        <v>0</v>
      </c>
      <c r="E51" s="45">
        <f>SUM(E40:E50)</f>
        <v>0</v>
      </c>
      <c r="F51" s="93">
        <f>SUM(F40:F50)</f>
        <v>1028500</v>
      </c>
      <c r="G51" s="28"/>
    </row>
    <row r="52" spans="1:6" ht="15.75">
      <c r="A52" s="81" t="s">
        <v>59</v>
      </c>
      <c r="B52" s="90"/>
      <c r="C52" s="91"/>
      <c r="D52" s="91"/>
      <c r="E52" s="91"/>
      <c r="F52" s="51"/>
    </row>
    <row r="53" spans="1:7" s="9" customFormat="1" ht="15">
      <c r="A53" s="79" t="s">
        <v>28</v>
      </c>
      <c r="B53" s="80"/>
      <c r="C53" s="78">
        <v>25000</v>
      </c>
      <c r="D53" s="78"/>
      <c r="E53" s="78"/>
      <c r="F53" s="92">
        <f>SUM(B53:E53)</f>
        <v>25000</v>
      </c>
      <c r="G53" s="10"/>
    </row>
    <row r="54" spans="1:7" s="9" customFormat="1" ht="15.75" thickBot="1">
      <c r="A54" s="79" t="s">
        <v>17</v>
      </c>
      <c r="B54" s="80"/>
      <c r="C54" s="78">
        <v>800</v>
      </c>
      <c r="D54" s="78"/>
      <c r="E54" s="78"/>
      <c r="F54" s="92">
        <f>SUM(B54:E54)</f>
        <v>800</v>
      </c>
      <c r="G54" s="10"/>
    </row>
    <row r="55" spans="1:7" s="9" customFormat="1" ht="16.5" thickBot="1">
      <c r="A55" s="85"/>
      <c r="B55" s="44">
        <f>SUM(B53:B54)</f>
        <v>0</v>
      </c>
      <c r="C55" s="45">
        <f>SUM(C53:C54)</f>
        <v>25800</v>
      </c>
      <c r="D55" s="45">
        <f>SUM(D53:D54)</f>
        <v>0</v>
      </c>
      <c r="E55" s="45">
        <f>SUM(E53:E54)</f>
        <v>0</v>
      </c>
      <c r="F55" s="93">
        <f>SUM(F53:F54)</f>
        <v>25800</v>
      </c>
      <c r="G55" s="10"/>
    </row>
    <row r="56" spans="1:7" s="9" customFormat="1" ht="15.75" thickBot="1">
      <c r="A56" s="47"/>
      <c r="B56" s="48"/>
      <c r="C56" s="49"/>
      <c r="D56" s="49"/>
      <c r="E56" s="49"/>
      <c r="F56" s="52"/>
      <c r="G56" s="10"/>
    </row>
    <row r="57" spans="1:7" s="12" customFormat="1" ht="16.5" thickBot="1">
      <c r="A57" s="43" t="s">
        <v>36</v>
      </c>
      <c r="B57" s="46">
        <f>SUM(B8:B56)/2</f>
        <v>11334200</v>
      </c>
      <c r="C57" s="46">
        <f>SUM(C8:C56)/2</f>
        <v>1459100</v>
      </c>
      <c r="D57" s="46">
        <f>SUM(D8:D56)/2</f>
        <v>6000</v>
      </c>
      <c r="E57" s="46">
        <f>SUM(E8:E56)/2</f>
        <v>4200</v>
      </c>
      <c r="F57" s="50">
        <f>SUM(F8:F56)/2</f>
        <v>12803500</v>
      </c>
      <c r="G57" s="28"/>
    </row>
    <row r="58" spans="2:7" s="9" customFormat="1" ht="15">
      <c r="B58" s="10"/>
      <c r="C58" s="10"/>
      <c r="D58" s="10"/>
      <c r="E58" s="10"/>
      <c r="F58" s="10"/>
      <c r="G58" s="10"/>
    </row>
    <row r="59" spans="2:7" s="9" customFormat="1" ht="15">
      <c r="B59" s="10"/>
      <c r="C59" s="10"/>
      <c r="D59" s="10"/>
      <c r="E59" s="10"/>
      <c r="F59" s="10"/>
      <c r="G59" s="10"/>
    </row>
  </sheetData>
  <sheetProtection/>
  <printOptions/>
  <pageMargins left="0.75" right="0.75" top="1" bottom="1" header="0.5" footer="0.5"/>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O18"/>
  <sheetViews>
    <sheetView zoomScale="90" zoomScaleNormal="90" zoomScalePageLayoutView="0" workbookViewId="0" topLeftCell="A1">
      <selection activeCell="A3" sqref="A3"/>
    </sheetView>
  </sheetViews>
  <sheetFormatPr defaultColWidth="9.140625" defaultRowHeight="12.75"/>
  <cols>
    <col min="1" max="1" width="31.8515625" style="5" customWidth="1"/>
    <col min="2" max="2" width="0.13671875" style="5" hidden="1" customWidth="1"/>
    <col min="3" max="3" width="14.00390625" style="3" hidden="1" customWidth="1"/>
    <col min="4" max="4" width="11.7109375" style="3" hidden="1" customWidth="1"/>
    <col min="5" max="6" width="14.00390625" style="3" hidden="1" customWidth="1"/>
    <col min="7" max="7" width="1.28515625" style="10" hidden="1" customWidth="1"/>
    <col min="8" max="8" width="3.7109375" style="10" customWidth="1"/>
    <col min="9" max="9" width="14.00390625" style="3" bestFit="1" customWidth="1"/>
    <col min="10" max="11" width="14.00390625" style="3" customWidth="1"/>
    <col min="12" max="12" width="3.421875" style="10" customWidth="1"/>
    <col min="13" max="14" width="15.421875" style="3" customWidth="1"/>
    <col min="15" max="15" width="15.421875" style="3" bestFit="1" customWidth="1"/>
    <col min="16" max="16384" width="9.140625" style="5" customWidth="1"/>
  </cols>
  <sheetData>
    <row r="1" spans="1:15" ht="15.75">
      <c r="A1" s="1" t="s">
        <v>104</v>
      </c>
      <c r="B1" s="18"/>
      <c r="C1" s="2"/>
      <c r="M1" s="34"/>
      <c r="N1" s="34"/>
      <c r="O1" s="34" t="s">
        <v>61</v>
      </c>
    </row>
    <row r="2" ht="15.75" thickBot="1"/>
    <row r="3" spans="1:15" s="6" customFormat="1" ht="15.75">
      <c r="A3" s="141" t="s">
        <v>0</v>
      </c>
      <c r="B3" s="32" t="s">
        <v>44</v>
      </c>
      <c r="C3" s="19" t="s">
        <v>42</v>
      </c>
      <c r="D3" s="20" t="s">
        <v>2</v>
      </c>
      <c r="E3" s="20" t="s">
        <v>7</v>
      </c>
      <c r="F3" s="21" t="s">
        <v>50</v>
      </c>
      <c r="G3" s="26"/>
      <c r="H3" s="26"/>
      <c r="I3" s="155" t="s">
        <v>42</v>
      </c>
      <c r="J3" s="156" t="s">
        <v>125</v>
      </c>
      <c r="K3" s="156" t="s">
        <v>3</v>
      </c>
      <c r="L3" s="60"/>
      <c r="M3" s="156" t="s">
        <v>42</v>
      </c>
      <c r="N3" s="155" t="s">
        <v>42</v>
      </c>
      <c r="O3" s="155" t="s">
        <v>42</v>
      </c>
    </row>
    <row r="4" spans="1:15" s="6" customFormat="1" ht="15.75">
      <c r="A4" s="145"/>
      <c r="B4" s="6" t="s">
        <v>45</v>
      </c>
      <c r="C4" s="22" t="s">
        <v>51</v>
      </c>
      <c r="D4" s="7" t="s">
        <v>46</v>
      </c>
      <c r="E4" s="7" t="s">
        <v>47</v>
      </c>
      <c r="F4" s="23" t="s">
        <v>51</v>
      </c>
      <c r="G4" s="26"/>
      <c r="H4" s="26"/>
      <c r="I4" s="157" t="s">
        <v>51</v>
      </c>
      <c r="J4" s="158" t="s">
        <v>126</v>
      </c>
      <c r="K4" s="158" t="s">
        <v>135</v>
      </c>
      <c r="L4" s="60"/>
      <c r="M4" s="158" t="s">
        <v>51</v>
      </c>
      <c r="N4" s="157" t="s">
        <v>51</v>
      </c>
      <c r="O4" s="157" t="s">
        <v>51</v>
      </c>
    </row>
    <row r="5" spans="1:15" s="6" customFormat="1" ht="15.75">
      <c r="A5" s="145"/>
      <c r="C5" s="22" t="s">
        <v>52</v>
      </c>
      <c r="D5" s="7" t="s">
        <v>13</v>
      </c>
      <c r="E5" s="8" t="s">
        <v>12</v>
      </c>
      <c r="F5" s="23" t="s">
        <v>52</v>
      </c>
      <c r="G5" s="26"/>
      <c r="H5" s="26"/>
      <c r="I5" s="157" t="s">
        <v>52</v>
      </c>
      <c r="J5" s="158" t="s">
        <v>136</v>
      </c>
      <c r="K5" s="158" t="s">
        <v>52</v>
      </c>
      <c r="L5" s="60"/>
      <c r="M5" s="158" t="s">
        <v>52</v>
      </c>
      <c r="N5" s="157" t="s">
        <v>52</v>
      </c>
      <c r="O5" s="157" t="s">
        <v>52</v>
      </c>
    </row>
    <row r="6" spans="1:15" s="6" customFormat="1" ht="15.75">
      <c r="A6" s="145"/>
      <c r="C6" s="24" t="s">
        <v>48</v>
      </c>
      <c r="D6" s="7"/>
      <c r="E6" s="7"/>
      <c r="F6" s="25" t="s">
        <v>48</v>
      </c>
      <c r="G6" s="27"/>
      <c r="H6" s="27"/>
      <c r="I6" s="159" t="s">
        <v>76</v>
      </c>
      <c r="J6" s="160" t="s">
        <v>75</v>
      </c>
      <c r="K6" s="160" t="s">
        <v>76</v>
      </c>
      <c r="L6" s="61"/>
      <c r="M6" s="160" t="s">
        <v>77</v>
      </c>
      <c r="N6" s="159" t="s">
        <v>78</v>
      </c>
      <c r="O6" s="159" t="s">
        <v>105</v>
      </c>
    </row>
    <row r="7" spans="1:15" ht="16.5" thickBot="1">
      <c r="A7" s="151"/>
      <c r="B7" s="33" t="s">
        <v>14</v>
      </c>
      <c r="C7" s="29" t="s">
        <v>15</v>
      </c>
      <c r="D7" s="30" t="s">
        <v>15</v>
      </c>
      <c r="E7" s="30" t="s">
        <v>15</v>
      </c>
      <c r="F7" s="31" t="s">
        <v>15</v>
      </c>
      <c r="G7" s="26"/>
      <c r="H7" s="26"/>
      <c r="I7" s="161" t="s">
        <v>15</v>
      </c>
      <c r="J7" s="162" t="s">
        <v>15</v>
      </c>
      <c r="K7" s="162" t="s">
        <v>15</v>
      </c>
      <c r="L7" s="60"/>
      <c r="M7" s="162" t="s">
        <v>15</v>
      </c>
      <c r="N7" s="161" t="s">
        <v>15</v>
      </c>
      <c r="O7" s="161" t="s">
        <v>15</v>
      </c>
    </row>
    <row r="8" spans="1:15" s="9" customFormat="1" ht="15">
      <c r="A8" s="79" t="s">
        <v>21</v>
      </c>
      <c r="B8" s="97"/>
      <c r="C8" s="80">
        <v>849000</v>
      </c>
      <c r="D8" s="78">
        <v>17000</v>
      </c>
      <c r="E8" s="78">
        <f>353300-25000</f>
        <v>328300</v>
      </c>
      <c r="F8" s="92">
        <f aca="true" t="shared" si="0" ref="F8:F14">SUM(C8:E8)</f>
        <v>1194300</v>
      </c>
      <c r="G8" s="10"/>
      <c r="H8" s="10"/>
      <c r="I8" s="98">
        <v>1249000</v>
      </c>
      <c r="J8" s="98"/>
      <c r="K8" s="98">
        <f>SUM(I8:J8)</f>
        <v>1249000</v>
      </c>
      <c r="L8" s="112"/>
      <c r="M8" s="98">
        <f>849000+400000</f>
        <v>1249000</v>
      </c>
      <c r="N8" s="98">
        <f>849000+400000</f>
        <v>1249000</v>
      </c>
      <c r="O8" s="98">
        <v>849000</v>
      </c>
    </row>
    <row r="9" spans="1:15" s="9" customFormat="1" ht="30">
      <c r="A9" s="99" t="s">
        <v>88</v>
      </c>
      <c r="B9" s="100"/>
      <c r="C9" s="101">
        <v>250000</v>
      </c>
      <c r="D9" s="63"/>
      <c r="E9" s="63">
        <v>-24400</v>
      </c>
      <c r="F9" s="102">
        <f t="shared" si="0"/>
        <v>225600</v>
      </c>
      <c r="G9" s="103"/>
      <c r="H9" s="103"/>
      <c r="I9" s="104">
        <v>300000</v>
      </c>
      <c r="J9" s="104"/>
      <c r="K9" s="98">
        <f aca="true" t="shared" si="1" ref="K9:K16">SUM(I9:J9)</f>
        <v>300000</v>
      </c>
      <c r="L9" s="113"/>
      <c r="M9" s="104">
        <v>300000</v>
      </c>
      <c r="N9" s="104">
        <v>300000</v>
      </c>
      <c r="O9" s="104">
        <v>300000</v>
      </c>
    </row>
    <row r="10" spans="1:15" ht="15">
      <c r="A10" s="79" t="s">
        <v>23</v>
      </c>
      <c r="B10" s="97"/>
      <c r="C10" s="80">
        <v>536000</v>
      </c>
      <c r="D10" s="78"/>
      <c r="E10" s="78">
        <f>197600+105000</f>
        <v>302600</v>
      </c>
      <c r="F10" s="92">
        <f t="shared" si="0"/>
        <v>838600</v>
      </c>
      <c r="I10" s="98">
        <v>1048000</v>
      </c>
      <c r="J10" s="98">
        <v>-6000</v>
      </c>
      <c r="K10" s="98">
        <f t="shared" si="1"/>
        <v>1042000</v>
      </c>
      <c r="L10" s="112"/>
      <c r="M10" s="98">
        <v>327000</v>
      </c>
      <c r="N10" s="98">
        <v>259800</v>
      </c>
      <c r="O10" s="98">
        <v>0</v>
      </c>
    </row>
    <row r="11" spans="1:15" ht="15">
      <c r="A11" s="79" t="s">
        <v>68</v>
      </c>
      <c r="B11" s="97"/>
      <c r="C11" s="80"/>
      <c r="D11" s="78"/>
      <c r="E11" s="78"/>
      <c r="F11" s="92"/>
      <c r="I11" s="98">
        <v>244800</v>
      </c>
      <c r="J11" s="98"/>
      <c r="K11" s="98">
        <f t="shared" si="1"/>
        <v>244800</v>
      </c>
      <c r="L11" s="112"/>
      <c r="M11" s="98">
        <f>88800+76000+23000+1000</f>
        <v>188800</v>
      </c>
      <c r="N11" s="98">
        <v>193000</v>
      </c>
      <c r="O11" s="98">
        <v>108000</v>
      </c>
    </row>
    <row r="12" spans="1:15" s="9" customFormat="1" ht="15">
      <c r="A12" s="79" t="s">
        <v>40</v>
      </c>
      <c r="B12" s="105">
        <v>90211</v>
      </c>
      <c r="C12" s="80">
        <v>1250000</v>
      </c>
      <c r="D12" s="78"/>
      <c r="E12" s="78">
        <v>-729000</v>
      </c>
      <c r="F12" s="92">
        <f t="shared" si="0"/>
        <v>521000</v>
      </c>
      <c r="G12" s="10"/>
      <c r="H12" s="10"/>
      <c r="I12" s="98">
        <v>900000</v>
      </c>
      <c r="J12" s="98"/>
      <c r="K12" s="98">
        <f t="shared" si="1"/>
        <v>900000</v>
      </c>
      <c r="L12" s="112"/>
      <c r="M12" s="98">
        <v>900000</v>
      </c>
      <c r="N12" s="98">
        <v>900000</v>
      </c>
      <c r="O12" s="98">
        <v>0</v>
      </c>
    </row>
    <row r="13" spans="1:15" s="9" customFormat="1" ht="15">
      <c r="A13" s="79" t="s">
        <v>29</v>
      </c>
      <c r="B13" s="105">
        <v>90253</v>
      </c>
      <c r="C13" s="80">
        <v>75000</v>
      </c>
      <c r="D13" s="78"/>
      <c r="E13" s="78">
        <v>50000</v>
      </c>
      <c r="F13" s="92">
        <f t="shared" si="0"/>
        <v>125000</v>
      </c>
      <c r="G13" s="10"/>
      <c r="H13" s="10"/>
      <c r="I13" s="98">
        <v>0</v>
      </c>
      <c r="J13" s="98"/>
      <c r="K13" s="98">
        <f t="shared" si="1"/>
        <v>0</v>
      </c>
      <c r="L13" s="112"/>
      <c r="M13" s="98">
        <v>50000</v>
      </c>
      <c r="N13" s="98">
        <v>0</v>
      </c>
      <c r="O13" s="98">
        <v>50000</v>
      </c>
    </row>
    <row r="14" spans="1:15" s="9" customFormat="1" ht="15">
      <c r="A14" s="79" t="s">
        <v>119</v>
      </c>
      <c r="B14" s="105"/>
      <c r="C14" s="80">
        <v>200000</v>
      </c>
      <c r="D14" s="78">
        <v>0</v>
      </c>
      <c r="E14" s="78">
        <v>35200</v>
      </c>
      <c r="F14" s="92">
        <f t="shared" si="0"/>
        <v>235200</v>
      </c>
      <c r="G14" s="10"/>
      <c r="H14" s="10"/>
      <c r="I14" s="98">
        <v>1560000</v>
      </c>
      <c r="J14" s="98"/>
      <c r="K14" s="98">
        <f t="shared" si="1"/>
        <v>1560000</v>
      </c>
      <c r="L14" s="112"/>
      <c r="M14" s="98">
        <v>40000</v>
      </c>
      <c r="N14" s="98">
        <v>0</v>
      </c>
      <c r="O14" s="98">
        <v>0</v>
      </c>
    </row>
    <row r="15" spans="1:15" s="9" customFormat="1" ht="15">
      <c r="A15" s="79" t="s">
        <v>89</v>
      </c>
      <c r="B15" s="105"/>
      <c r="C15" s="80">
        <v>200000</v>
      </c>
      <c r="D15" s="78">
        <v>0</v>
      </c>
      <c r="E15" s="78">
        <v>35200</v>
      </c>
      <c r="F15" s="92">
        <f>SUM(C15:E15)</f>
        <v>235200</v>
      </c>
      <c r="G15" s="10"/>
      <c r="H15" s="10"/>
      <c r="I15" s="98">
        <v>20000</v>
      </c>
      <c r="J15" s="98"/>
      <c r="K15" s="98">
        <f t="shared" si="1"/>
        <v>20000</v>
      </c>
      <c r="L15" s="112"/>
      <c r="M15" s="98">
        <v>50000</v>
      </c>
      <c r="N15" s="98">
        <v>50000</v>
      </c>
      <c r="O15" s="98">
        <v>0</v>
      </c>
    </row>
    <row r="16" spans="1:15" s="9" customFormat="1" ht="15.75" thickBot="1">
      <c r="A16" s="79" t="s">
        <v>98</v>
      </c>
      <c r="B16" s="105">
        <v>90261</v>
      </c>
      <c r="C16" s="80"/>
      <c r="D16" s="78">
        <v>90000</v>
      </c>
      <c r="E16" s="78"/>
      <c r="F16" s="92">
        <f>SUM(C16:E16)</f>
        <v>90000</v>
      </c>
      <c r="G16" s="10"/>
      <c r="H16" s="10"/>
      <c r="I16" s="98">
        <v>30000</v>
      </c>
      <c r="J16" s="98"/>
      <c r="K16" s="98">
        <f t="shared" si="1"/>
        <v>30000</v>
      </c>
      <c r="L16" s="112"/>
      <c r="M16" s="98">
        <v>0</v>
      </c>
      <c r="N16" s="98">
        <v>0</v>
      </c>
      <c r="O16" s="98">
        <v>0</v>
      </c>
    </row>
    <row r="17" spans="1:15" s="12" customFormat="1" ht="16.5" thickBot="1">
      <c r="A17" s="43" t="s">
        <v>36</v>
      </c>
      <c r="B17" s="53"/>
      <c r="C17" s="46">
        <f>SUM(C8:C16)</f>
        <v>3360000</v>
      </c>
      <c r="D17" s="45">
        <f>SUM(D8:D16)</f>
        <v>107000</v>
      </c>
      <c r="E17" s="45">
        <f>SUM(E8:E16)</f>
        <v>-2100</v>
      </c>
      <c r="F17" s="54">
        <f>SUM(F8:F16)</f>
        <v>3464900</v>
      </c>
      <c r="G17" s="28"/>
      <c r="H17" s="28"/>
      <c r="I17" s="50">
        <f>SUM(I8:I16)</f>
        <v>5351800</v>
      </c>
      <c r="J17" s="50">
        <f>SUM(J8:J16)</f>
        <v>-6000</v>
      </c>
      <c r="K17" s="50">
        <f>SUM(K8:K16)</f>
        <v>5345800</v>
      </c>
      <c r="L17" s="90"/>
      <c r="M17" s="44">
        <f>SUM(M8:M16)</f>
        <v>3104800</v>
      </c>
      <c r="N17" s="50">
        <f>SUM(N8:N16)</f>
        <v>2951800</v>
      </c>
      <c r="O17" s="50">
        <f>SUM(O8:O16)</f>
        <v>1307000</v>
      </c>
    </row>
    <row r="18" spans="2:15" s="9" customFormat="1" ht="15">
      <c r="B18" s="10"/>
      <c r="C18" s="10"/>
      <c r="D18" s="10"/>
      <c r="E18" s="10"/>
      <c r="F18" s="10"/>
      <c r="G18" s="10"/>
      <c r="H18" s="10"/>
      <c r="I18" s="10"/>
      <c r="J18" s="10"/>
      <c r="K18" s="10"/>
      <c r="L18" s="10"/>
      <c r="M18" s="10"/>
      <c r="N18" s="10"/>
      <c r="O18" s="10"/>
    </row>
  </sheetData>
  <sheetProtection/>
  <printOptions/>
  <pageMargins left="0.75" right="0.75" top="1" bottom="1" header="0.5" footer="0.5"/>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Carlisle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JackieGr</dc:creator>
  <cp:keywords/>
  <dc:description/>
  <cp:lastModifiedBy>RachelR</cp:lastModifiedBy>
  <cp:lastPrinted>2010-06-07T10:46:18Z</cp:lastPrinted>
  <dcterms:created xsi:type="dcterms:W3CDTF">2006-10-24T09:33:53Z</dcterms:created>
  <dcterms:modified xsi:type="dcterms:W3CDTF">2010-06-07T10:46:56Z</dcterms:modified>
  <cp:category/>
  <cp:version/>
  <cp:contentType/>
  <cp:contentStatus/>
</cp:coreProperties>
</file>