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0" yWindow="180" windowWidth="15450" windowHeight="5835" tabRatio="599" activeTab="6"/>
  </bookViews>
  <sheets>
    <sheet name="13" sheetId="25" r:id="rId1"/>
    <sheet name="14" sheetId="26" r:id="rId2"/>
    <sheet name="15" sheetId="35" r:id="rId3"/>
    <sheet name="16" sheetId="2" r:id="rId4"/>
    <sheet name="17" sheetId="27" r:id="rId5"/>
    <sheet name="18" sheetId="29" r:id="rId6"/>
    <sheet name="19" sheetId="28" r:id="rId7"/>
    <sheet name="20" sheetId="42" r:id="rId8"/>
    <sheet name="21" sheetId="43" r:id="rId9"/>
    <sheet name="22" sheetId="44" r:id="rId10"/>
    <sheet name="Appendix B" sheetId="40" state="hidden" r:id="rId11"/>
    <sheet name="23" sheetId="46" r:id="rId12"/>
    <sheet name="24" sheetId="45" r:id="rId13"/>
    <sheet name="Appendix C" sheetId="41" state="hidden" r:id="rId14"/>
  </sheets>
  <definedNames>
    <definedName name="_xlnm.Print_Area" localSheetId="1">'14'!$A$1:$I$65</definedName>
    <definedName name="_xlnm.Print_Area" localSheetId="2">'15'!$A$1:$C$44</definedName>
    <definedName name="_xlnm.Print_Area" localSheetId="3">'16'!$A$1:$J$74</definedName>
    <definedName name="_xlnm.Print_Area" localSheetId="4">'17'!$A$1:$J$74</definedName>
    <definedName name="_xlnm.Print_Area" localSheetId="6">'19'!$A$1:$J$41</definedName>
    <definedName name="_xlnm.Print_Area" localSheetId="8">'21'!$B:$P</definedName>
    <definedName name="_xlnm.Print_Area" localSheetId="9">'22'!$B$1:$P$84</definedName>
    <definedName name="_xlnm.Print_Titles" localSheetId="7">'20'!$3:$5</definedName>
    <definedName name="_xlnm.Print_Titles" localSheetId="10">'Appendix B'!$3:$5</definedName>
  </definedNames>
  <calcPr calcId="125725"/>
</workbook>
</file>

<file path=xl/calcChain.xml><?xml version="1.0" encoding="utf-8"?>
<calcChain xmlns="http://schemas.openxmlformats.org/spreadsheetml/2006/main">
  <c r="J85" i="46"/>
  <c r="I85"/>
  <c r="H85"/>
  <c r="G85"/>
  <c r="F85"/>
  <c r="E85"/>
  <c r="D85"/>
  <c r="J82"/>
  <c r="J87" s="1"/>
  <c r="I82"/>
  <c r="I87" s="1"/>
  <c r="H82"/>
  <c r="H87" s="1"/>
  <c r="G82"/>
  <c r="G87" s="1"/>
  <c r="F82"/>
  <c r="F87" s="1"/>
  <c r="E82"/>
  <c r="E87" s="1"/>
  <c r="D82"/>
  <c r="D87" s="1"/>
  <c r="J73"/>
  <c r="I73"/>
  <c r="H73"/>
  <c r="G73"/>
  <c r="F73"/>
  <c r="E73"/>
  <c r="D73"/>
  <c r="J65"/>
  <c r="I65"/>
  <c r="H65"/>
  <c r="G65"/>
  <c r="F65"/>
  <c r="E65"/>
  <c r="D65"/>
  <c r="J42"/>
  <c r="I42"/>
  <c r="H42"/>
  <c r="G42"/>
  <c r="F42"/>
  <c r="E42"/>
  <c r="D42"/>
  <c r="J29"/>
  <c r="J44" s="1"/>
  <c r="I29"/>
  <c r="I86" s="1"/>
  <c r="H29"/>
  <c r="H44" s="1"/>
  <c r="G29"/>
  <c r="G86" s="1"/>
  <c r="F29"/>
  <c r="F44" s="1"/>
  <c r="G10" s="1"/>
  <c r="H10" s="1"/>
  <c r="E29"/>
  <c r="E86" s="1"/>
  <c r="D29"/>
  <c r="D44" s="1"/>
  <c r="G8" s="1"/>
  <c r="H8" s="1"/>
  <c r="C10"/>
  <c r="C9"/>
  <c r="C8"/>
  <c r="J85" i="45"/>
  <c r="I85"/>
  <c r="H85"/>
  <c r="G85"/>
  <c r="F85"/>
  <c r="E85"/>
  <c r="D85"/>
  <c r="J82"/>
  <c r="J87" s="1"/>
  <c r="I82"/>
  <c r="I87" s="1"/>
  <c r="H82"/>
  <c r="H87" s="1"/>
  <c r="G82"/>
  <c r="G87" s="1"/>
  <c r="F82"/>
  <c r="F87" s="1"/>
  <c r="E82"/>
  <c r="E87" s="1"/>
  <c r="D82"/>
  <c r="D87" s="1"/>
  <c r="J73"/>
  <c r="I73"/>
  <c r="H73"/>
  <c r="G73"/>
  <c r="F73"/>
  <c r="E73"/>
  <c r="D73"/>
  <c r="J65"/>
  <c r="I65"/>
  <c r="H65"/>
  <c r="G65"/>
  <c r="F65"/>
  <c r="E65"/>
  <c r="D65"/>
  <c r="J42"/>
  <c r="I42"/>
  <c r="H42"/>
  <c r="G42"/>
  <c r="F42"/>
  <c r="E42"/>
  <c r="D42"/>
  <c r="J29"/>
  <c r="J44" s="1"/>
  <c r="I29"/>
  <c r="I86" s="1"/>
  <c r="H29"/>
  <c r="H44" s="1"/>
  <c r="G29"/>
  <c r="G86" s="1"/>
  <c r="F29"/>
  <c r="F44" s="1"/>
  <c r="G10" s="1"/>
  <c r="H10" s="1"/>
  <c r="E29"/>
  <c r="E86" s="1"/>
  <c r="D29"/>
  <c r="D44" s="1"/>
  <c r="G8" s="1"/>
  <c r="H8" s="1"/>
  <c r="C10"/>
  <c r="C9"/>
  <c r="C8"/>
  <c r="H7" i="44"/>
  <c r="H8"/>
  <c r="H9"/>
  <c r="H10"/>
  <c r="H11"/>
  <c r="H12"/>
  <c r="H13"/>
  <c r="E14"/>
  <c r="F14"/>
  <c r="G14"/>
  <c r="H14"/>
  <c r="E15"/>
  <c r="F15"/>
  <c r="G15"/>
  <c r="H15"/>
  <c r="J15"/>
  <c r="M15"/>
  <c r="H17"/>
  <c r="E18"/>
  <c r="H18" s="1"/>
  <c r="E19"/>
  <c r="H19" s="1"/>
  <c r="H21" s="1"/>
  <c r="H20"/>
  <c r="F21"/>
  <c r="G21"/>
  <c r="J21"/>
  <c r="M21"/>
  <c r="H22"/>
  <c r="H23"/>
  <c r="E24"/>
  <c r="H24"/>
  <c r="E25"/>
  <c r="H25"/>
  <c r="E26"/>
  <c r="H26"/>
  <c r="H27"/>
  <c r="E28"/>
  <c r="H28" s="1"/>
  <c r="E29"/>
  <c r="H29" s="1"/>
  <c r="H30"/>
  <c r="H31"/>
  <c r="F32"/>
  <c r="G32"/>
  <c r="J32"/>
  <c r="M32"/>
  <c r="H34"/>
  <c r="M34"/>
  <c r="F35"/>
  <c r="F38" s="1"/>
  <c r="G35"/>
  <c r="H35"/>
  <c r="M35"/>
  <c r="H36"/>
  <c r="H37"/>
  <c r="E38"/>
  <c r="G38"/>
  <c r="J38"/>
  <c r="M38"/>
  <c r="H40"/>
  <c r="H41"/>
  <c r="H42"/>
  <c r="H43"/>
  <c r="H44"/>
  <c r="H45"/>
  <c r="E46"/>
  <c r="H46" s="1"/>
  <c r="H47"/>
  <c r="H48"/>
  <c r="E49"/>
  <c r="H49" s="1"/>
  <c r="H50"/>
  <c r="B90"/>
  <c r="M78"/>
  <c r="J78"/>
  <c r="G78"/>
  <c r="F78"/>
  <c r="E78"/>
  <c r="H77"/>
  <c r="H76"/>
  <c r="M74"/>
  <c r="J74"/>
  <c r="G74"/>
  <c r="F74"/>
  <c r="E74"/>
  <c r="H73"/>
  <c r="H72"/>
  <c r="H74" s="1"/>
  <c r="J69"/>
  <c r="H69"/>
  <c r="M68"/>
  <c r="J68"/>
  <c r="G68"/>
  <c r="F68"/>
  <c r="E68"/>
  <c r="H67"/>
  <c r="H66"/>
  <c r="H65"/>
  <c r="H64"/>
  <c r="H63"/>
  <c r="H68" s="1"/>
  <c r="J62"/>
  <c r="H62"/>
  <c r="M61"/>
  <c r="M70" s="1"/>
  <c r="J61"/>
  <c r="J83" s="1"/>
  <c r="G61"/>
  <c r="G70" s="1"/>
  <c r="F61"/>
  <c r="F70" s="1"/>
  <c r="E61"/>
  <c r="H60"/>
  <c r="H59"/>
  <c r="H58"/>
  <c r="H57"/>
  <c r="H56"/>
  <c r="H53"/>
  <c r="H52"/>
  <c r="E52"/>
  <c r="H51"/>
  <c r="E70"/>
  <c r="J82"/>
  <c r="H23" i="43"/>
  <c r="E22"/>
  <c r="H22" s="1"/>
  <c r="H21"/>
  <c r="H20"/>
  <c r="E19"/>
  <c r="H18"/>
  <c r="H17"/>
  <c r="H16"/>
  <c r="H15"/>
  <c r="H14"/>
  <c r="H13"/>
  <c r="J11"/>
  <c r="E11"/>
  <c r="H10"/>
  <c r="H9"/>
  <c r="G8"/>
  <c r="G11" s="1"/>
  <c r="F8"/>
  <c r="H8" s="1"/>
  <c r="M7"/>
  <c r="H7"/>
  <c r="H31" i="42"/>
  <c r="H30"/>
  <c r="E29"/>
  <c r="H29" s="1"/>
  <c r="E28"/>
  <c r="H28" s="1"/>
  <c r="H27"/>
  <c r="E26"/>
  <c r="H26" s="1"/>
  <c r="E25"/>
  <c r="H25" s="1"/>
  <c r="E24"/>
  <c r="H24" s="1"/>
  <c r="H23"/>
  <c r="H22"/>
  <c r="M21"/>
  <c r="M32" s="1"/>
  <c r="J21"/>
  <c r="G21"/>
  <c r="G32" s="1"/>
  <c r="F21"/>
  <c r="F32" s="1"/>
  <c r="H20"/>
  <c r="E19"/>
  <c r="E18"/>
  <c r="H18" s="1"/>
  <c r="H17"/>
  <c r="M15"/>
  <c r="J15"/>
  <c r="G14"/>
  <c r="G15" s="1"/>
  <c r="F14"/>
  <c r="F15" s="1"/>
  <c r="E14"/>
  <c r="E15" s="1"/>
  <c r="H13"/>
  <c r="H12"/>
  <c r="H11"/>
  <c r="H10"/>
  <c r="H9"/>
  <c r="H8"/>
  <c r="H7"/>
  <c r="E88" i="45" l="1"/>
  <c r="G88"/>
  <c r="I88"/>
  <c r="E88" i="46"/>
  <c r="G88"/>
  <c r="I88"/>
  <c r="E44"/>
  <c r="G9" s="1"/>
  <c r="H9" s="1"/>
  <c r="G44"/>
  <c r="I44"/>
  <c r="D86"/>
  <c r="D88" s="1"/>
  <c r="F86"/>
  <c r="F88" s="1"/>
  <c r="H86"/>
  <c r="H88" s="1"/>
  <c r="J86"/>
  <c r="J88" s="1"/>
  <c r="E44" i="45"/>
  <c r="G9" s="1"/>
  <c r="H9" s="1"/>
  <c r="G44"/>
  <c r="I44"/>
  <c r="D86"/>
  <c r="D88" s="1"/>
  <c r="F86"/>
  <c r="F88" s="1"/>
  <c r="H86"/>
  <c r="H88" s="1"/>
  <c r="J86"/>
  <c r="J88" s="1"/>
  <c r="H38" i="44"/>
  <c r="H32"/>
  <c r="E21"/>
  <c r="E32" s="1"/>
  <c r="H61"/>
  <c r="H70" s="1"/>
  <c r="H78"/>
  <c r="H19" i="43"/>
  <c r="H14" i="42"/>
  <c r="H15" s="1"/>
  <c r="H19"/>
  <c r="H21" s="1"/>
  <c r="E21"/>
  <c r="E32" s="1"/>
  <c r="H82" i="44"/>
  <c r="G79"/>
  <c r="M79"/>
  <c r="E79"/>
  <c r="F79"/>
  <c r="J70"/>
  <c r="J79" s="1"/>
  <c r="M8" i="43"/>
  <c r="M11" s="1"/>
  <c r="F11"/>
  <c r="H11"/>
  <c r="H32" i="42"/>
  <c r="J32"/>
  <c r="E10" i="2"/>
  <c r="E35"/>
  <c r="I25"/>
  <c r="B90" i="40"/>
  <c r="B49" i="28"/>
  <c r="A74" i="26"/>
  <c r="C52" i="35"/>
  <c r="B82" i="2"/>
  <c r="B82" i="27"/>
  <c r="E37" i="2"/>
  <c r="D37"/>
  <c r="D53" i="26"/>
  <c r="D44"/>
  <c r="C10"/>
  <c r="C35"/>
  <c r="C34"/>
  <c r="D33"/>
  <c r="C31"/>
  <c r="D30"/>
  <c r="D26"/>
  <c r="D27" i="28"/>
  <c r="I30" i="27"/>
  <c r="G14" i="25"/>
  <c r="H14" s="1"/>
  <c r="J14" s="1"/>
  <c r="J9" i="28"/>
  <c r="G13"/>
  <c r="H13" s="1"/>
  <c r="J13" s="1"/>
  <c r="J15" s="1"/>
  <c r="I11"/>
  <c r="G11"/>
  <c r="H10"/>
  <c r="H11" s="1"/>
  <c r="H9"/>
  <c r="G14" i="29"/>
  <c r="G30" s="1"/>
  <c r="G32" s="1"/>
  <c r="J10"/>
  <c r="I12"/>
  <c r="G12"/>
  <c r="H10"/>
  <c r="H9"/>
  <c r="J9" s="1"/>
  <c r="J12" s="1"/>
  <c r="G25" i="27"/>
  <c r="G30"/>
  <c r="J41"/>
  <c r="J40"/>
  <c r="J39"/>
  <c r="J37"/>
  <c r="J36"/>
  <c r="J34"/>
  <c r="J33"/>
  <c r="J32"/>
  <c r="J31"/>
  <c r="J28"/>
  <c r="J27"/>
  <c r="H41"/>
  <c r="H40"/>
  <c r="H39"/>
  <c r="H38"/>
  <c r="H37"/>
  <c r="H36"/>
  <c r="H34"/>
  <c r="H33"/>
  <c r="H32"/>
  <c r="H31"/>
  <c r="H28"/>
  <c r="H27"/>
  <c r="I12"/>
  <c r="G12"/>
  <c r="H10"/>
  <c r="H12" s="1"/>
  <c r="H9"/>
  <c r="I49"/>
  <c r="H49"/>
  <c r="I12" i="2"/>
  <c r="G12"/>
  <c r="H10"/>
  <c r="J10" s="1"/>
  <c r="H9"/>
  <c r="H31"/>
  <c r="J31" s="1"/>
  <c r="H38"/>
  <c r="J38" s="1"/>
  <c r="H41"/>
  <c r="J41" s="1"/>
  <c r="I50"/>
  <c r="H50"/>
  <c r="I44"/>
  <c r="I52" s="1"/>
  <c r="G52" i="26"/>
  <c r="G51"/>
  <c r="G50"/>
  <c r="G49"/>
  <c r="G47"/>
  <c r="G46"/>
  <c r="G45"/>
  <c r="G43"/>
  <c r="G42"/>
  <c r="G41"/>
  <c r="G40"/>
  <c r="G39"/>
  <c r="G38"/>
  <c r="G37"/>
  <c r="G36"/>
  <c r="G32"/>
  <c r="G29"/>
  <c r="G27"/>
  <c r="G25"/>
  <c r="I25" s="1"/>
  <c r="H63"/>
  <c r="G63"/>
  <c r="H55"/>
  <c r="H65"/>
  <c r="I52"/>
  <c r="I51"/>
  <c r="I50"/>
  <c r="I49"/>
  <c r="I47"/>
  <c r="I46"/>
  <c r="I45"/>
  <c r="I43"/>
  <c r="I42"/>
  <c r="I41"/>
  <c r="I40"/>
  <c r="I39"/>
  <c r="I38"/>
  <c r="I37"/>
  <c r="I36"/>
  <c r="I32"/>
  <c r="I29"/>
  <c r="I27"/>
  <c r="I9"/>
  <c r="H12"/>
  <c r="H16"/>
  <c r="G10"/>
  <c r="I10" s="1"/>
  <c r="I12" s="1"/>
  <c r="G9"/>
  <c r="H10" i="25"/>
  <c r="J10" s="1"/>
  <c r="H9"/>
  <c r="J9" s="1"/>
  <c r="G28"/>
  <c r="D31" i="26"/>
  <c r="D29"/>
  <c r="C29"/>
  <c r="C27"/>
  <c r="C36"/>
  <c r="D38"/>
  <c r="C49"/>
  <c r="D50"/>
  <c r="D35"/>
  <c r="D32"/>
  <c r="D27"/>
  <c r="G16" i="25" l="1"/>
  <c r="H79" i="44"/>
  <c r="H83"/>
  <c r="H14" i="29"/>
  <c r="J14" s="1"/>
  <c r="J16" s="1"/>
  <c r="H12"/>
  <c r="J10" i="28"/>
  <c r="H12" i="2"/>
  <c r="G12" i="26"/>
  <c r="H12" i="25"/>
  <c r="H16" s="1"/>
  <c r="G30" i="28"/>
  <c r="J11"/>
  <c r="H15"/>
  <c r="G15"/>
  <c r="H16" i="29"/>
  <c r="G16"/>
  <c r="J12" i="2"/>
  <c r="J9"/>
  <c r="D40"/>
  <c r="E32"/>
  <c r="E28"/>
  <c r="F10" i="27"/>
  <c r="E28" i="29"/>
  <c r="G35" i="40" l="1"/>
  <c r="G38" s="1"/>
  <c r="F35"/>
  <c r="M34"/>
  <c r="M35" s="1"/>
  <c r="H34"/>
  <c r="I14" i="2" s="1"/>
  <c r="I16" s="1"/>
  <c r="F10" i="28"/>
  <c r="H35" i="40" l="1"/>
  <c r="F38"/>
  <c r="M38"/>
  <c r="J69"/>
  <c r="J62"/>
  <c r="J38" l="1"/>
  <c r="E40" i="2"/>
  <c r="F12" i="26" l="1"/>
  <c r="E27" i="28" l="1"/>
  <c r="F26"/>
  <c r="H26" s="1"/>
  <c r="J26" s="1"/>
  <c r="E53" i="26"/>
  <c r="G53" s="1"/>
  <c r="I53" s="1"/>
  <c r="E52"/>
  <c r="E28"/>
  <c r="G28" s="1"/>
  <c r="I28" s="1"/>
  <c r="D49"/>
  <c r="E49"/>
  <c r="F34" i="27"/>
  <c r="F37"/>
  <c r="F36"/>
  <c r="F35"/>
  <c r="H35" s="1"/>
  <c r="J35" s="1"/>
  <c r="E27" i="26" l="1"/>
  <c r="E35"/>
  <c r="G35" s="1"/>
  <c r="I35" s="1"/>
  <c r="J85" i="41"/>
  <c r="I85"/>
  <c r="H85"/>
  <c r="G85"/>
  <c r="F85"/>
  <c r="E85"/>
  <c r="D85"/>
  <c r="J82"/>
  <c r="J87" s="1"/>
  <c r="I82"/>
  <c r="I87" s="1"/>
  <c r="H82"/>
  <c r="H87" s="1"/>
  <c r="G82"/>
  <c r="G87" s="1"/>
  <c r="F82"/>
  <c r="F87" s="1"/>
  <c r="E82"/>
  <c r="E87" s="1"/>
  <c r="D82"/>
  <c r="D87" s="1"/>
  <c r="J73"/>
  <c r="I73"/>
  <c r="H73"/>
  <c r="G73"/>
  <c r="F73"/>
  <c r="E73"/>
  <c r="D73"/>
  <c r="J65"/>
  <c r="I65"/>
  <c r="H65"/>
  <c r="G65"/>
  <c r="F65"/>
  <c r="E65"/>
  <c r="D65"/>
  <c r="J42"/>
  <c r="I42"/>
  <c r="H42"/>
  <c r="G42"/>
  <c r="F42"/>
  <c r="E42"/>
  <c r="D42"/>
  <c r="J29"/>
  <c r="J44" s="1"/>
  <c r="I29"/>
  <c r="I86" s="1"/>
  <c r="H29"/>
  <c r="H44" s="1"/>
  <c r="G29"/>
  <c r="G86" s="1"/>
  <c r="F29"/>
  <c r="F44" s="1"/>
  <c r="G10" s="1"/>
  <c r="H10" s="1"/>
  <c r="E29"/>
  <c r="E86" s="1"/>
  <c r="D29"/>
  <c r="D44" s="1"/>
  <c r="G8" s="1"/>
  <c r="H8" s="1"/>
  <c r="C10"/>
  <c r="C9"/>
  <c r="C8"/>
  <c r="E29" i="2"/>
  <c r="E27"/>
  <c r="E42"/>
  <c r="F33" i="27"/>
  <c r="F32"/>
  <c r="F40"/>
  <c r="E38"/>
  <c r="F27"/>
  <c r="E37" i="26"/>
  <c r="E47"/>
  <c r="E41"/>
  <c r="E34"/>
  <c r="G34" s="1"/>
  <c r="I34" s="1"/>
  <c r="D46"/>
  <c r="E25" i="28"/>
  <c r="H43" i="40"/>
  <c r="H53"/>
  <c r="E88" i="41" l="1"/>
  <c r="G88"/>
  <c r="I88"/>
  <c r="E44"/>
  <c r="G9" s="1"/>
  <c r="H9" s="1"/>
  <c r="G44"/>
  <c r="I44"/>
  <c r="D86"/>
  <c r="D88" s="1"/>
  <c r="F86"/>
  <c r="F88" s="1"/>
  <c r="H86"/>
  <c r="H88" s="1"/>
  <c r="J86"/>
  <c r="J88" s="1"/>
  <c r="E26" i="25"/>
  <c r="D26"/>
  <c r="E46" i="40" l="1"/>
  <c r="E49"/>
  <c r="E52"/>
  <c r="E61"/>
  <c r="E14"/>
  <c r="E18"/>
  <c r="E24"/>
  <c r="E29"/>
  <c r="E28"/>
  <c r="E26"/>
  <c r="E25"/>
  <c r="M78"/>
  <c r="J78"/>
  <c r="G78"/>
  <c r="F78"/>
  <c r="E78"/>
  <c r="H77"/>
  <c r="H76"/>
  <c r="M74"/>
  <c r="J74"/>
  <c r="G74"/>
  <c r="F74"/>
  <c r="E74"/>
  <c r="H73"/>
  <c r="H72"/>
  <c r="H69"/>
  <c r="M68"/>
  <c r="J68"/>
  <c r="G68"/>
  <c r="F68"/>
  <c r="E68"/>
  <c r="H67"/>
  <c r="H66"/>
  <c r="H65"/>
  <c r="H64"/>
  <c r="H63"/>
  <c r="H62"/>
  <c r="M61"/>
  <c r="J61"/>
  <c r="J83" s="1"/>
  <c r="G61"/>
  <c r="F61"/>
  <c r="F70" s="1"/>
  <c r="H60"/>
  <c r="H59"/>
  <c r="H58"/>
  <c r="H57"/>
  <c r="H56"/>
  <c r="H52"/>
  <c r="H51"/>
  <c r="H50"/>
  <c r="H49"/>
  <c r="H48"/>
  <c r="H47"/>
  <c r="H46"/>
  <c r="H45"/>
  <c r="H44"/>
  <c r="H42"/>
  <c r="H41"/>
  <c r="H40"/>
  <c r="H31"/>
  <c r="H30"/>
  <c r="H29"/>
  <c r="H28"/>
  <c r="H27"/>
  <c r="H26"/>
  <c r="H25"/>
  <c r="H24"/>
  <c r="H23"/>
  <c r="H22"/>
  <c r="M21"/>
  <c r="M32" s="1"/>
  <c r="J21"/>
  <c r="J82" s="1"/>
  <c r="G21"/>
  <c r="G32" s="1"/>
  <c r="F21"/>
  <c r="F32" s="1"/>
  <c r="H20"/>
  <c r="E19"/>
  <c r="E21" s="1"/>
  <c r="H18"/>
  <c r="H17"/>
  <c r="H36"/>
  <c r="M15"/>
  <c r="J15"/>
  <c r="G14"/>
  <c r="G15" s="1"/>
  <c r="F14"/>
  <c r="F15" s="1"/>
  <c r="E15"/>
  <c r="H13"/>
  <c r="H12"/>
  <c r="H11"/>
  <c r="H10"/>
  <c r="H9"/>
  <c r="H8"/>
  <c r="H7"/>
  <c r="D12" i="25"/>
  <c r="D16" s="1"/>
  <c r="E12"/>
  <c r="F12"/>
  <c r="F16" s="1"/>
  <c r="E16"/>
  <c r="F25"/>
  <c r="H25" s="1"/>
  <c r="F26"/>
  <c r="H26" s="1"/>
  <c r="J26" s="1"/>
  <c r="D28"/>
  <c r="E28"/>
  <c r="I28"/>
  <c r="C12" i="26"/>
  <c r="C16" s="1"/>
  <c r="E12"/>
  <c r="E16" s="1"/>
  <c r="E25"/>
  <c r="E26"/>
  <c r="G26" s="1"/>
  <c r="I26" s="1"/>
  <c r="E29"/>
  <c r="E30"/>
  <c r="G30" s="1"/>
  <c r="I30" s="1"/>
  <c r="E31"/>
  <c r="G31" s="1"/>
  <c r="I31" s="1"/>
  <c r="E32"/>
  <c r="E33"/>
  <c r="G33" s="1"/>
  <c r="I33" s="1"/>
  <c r="E36"/>
  <c r="E38"/>
  <c r="E39"/>
  <c r="E40"/>
  <c r="E42"/>
  <c r="E43"/>
  <c r="E44"/>
  <c r="G44" s="1"/>
  <c r="I44" s="1"/>
  <c r="E45"/>
  <c r="E46"/>
  <c r="E48"/>
  <c r="G48" s="1"/>
  <c r="I48" s="1"/>
  <c r="E50"/>
  <c r="E51"/>
  <c r="I58"/>
  <c r="I59"/>
  <c r="I61"/>
  <c r="I62"/>
  <c r="C63"/>
  <c r="D63"/>
  <c r="E63"/>
  <c r="F63"/>
  <c r="D12" i="2"/>
  <c r="D16" s="1"/>
  <c r="F12"/>
  <c r="F16" s="1"/>
  <c r="F25"/>
  <c r="H25" s="1"/>
  <c r="F26"/>
  <c r="H26" s="1"/>
  <c r="J26" s="1"/>
  <c r="F27"/>
  <c r="H27" s="1"/>
  <c r="J27" s="1"/>
  <c r="F28"/>
  <c r="H28" s="1"/>
  <c r="J28" s="1"/>
  <c r="F29"/>
  <c r="H29" s="1"/>
  <c r="J29" s="1"/>
  <c r="F30"/>
  <c r="H30" s="1"/>
  <c r="J30" s="1"/>
  <c r="F32"/>
  <c r="H32" s="1"/>
  <c r="J32" s="1"/>
  <c r="F33"/>
  <c r="H33" s="1"/>
  <c r="J33" s="1"/>
  <c r="F34"/>
  <c r="H34" s="1"/>
  <c r="J34" s="1"/>
  <c r="F35"/>
  <c r="H35" s="1"/>
  <c r="J35" s="1"/>
  <c r="F36"/>
  <c r="H36" s="1"/>
  <c r="J36" s="1"/>
  <c r="F37"/>
  <c r="H37" s="1"/>
  <c r="J37" s="1"/>
  <c r="F39"/>
  <c r="H39" s="1"/>
  <c r="J39" s="1"/>
  <c r="F40"/>
  <c r="H40" s="1"/>
  <c r="J40" s="1"/>
  <c r="F42"/>
  <c r="H42" s="1"/>
  <c r="J42" s="1"/>
  <c r="G44"/>
  <c r="F47"/>
  <c r="F48"/>
  <c r="J48" s="1"/>
  <c r="F49"/>
  <c r="J49" s="1"/>
  <c r="D50"/>
  <c r="E50"/>
  <c r="G50"/>
  <c r="J9" i="27"/>
  <c r="J10"/>
  <c r="J12" s="1"/>
  <c r="D12"/>
  <c r="D16" s="1"/>
  <c r="E12"/>
  <c r="E16" s="1"/>
  <c r="F12"/>
  <c r="F16" s="1"/>
  <c r="F25"/>
  <c r="H25" s="1"/>
  <c r="J25" s="1"/>
  <c r="F26"/>
  <c r="H26" s="1"/>
  <c r="J26" s="1"/>
  <c r="F28"/>
  <c r="F29"/>
  <c r="H29" s="1"/>
  <c r="J29" s="1"/>
  <c r="F30"/>
  <c r="H30" s="1"/>
  <c r="J30" s="1"/>
  <c r="F31"/>
  <c r="F38"/>
  <c r="F39"/>
  <c r="F41"/>
  <c r="F46"/>
  <c r="J46" s="1"/>
  <c r="F47"/>
  <c r="J47" s="1"/>
  <c r="F48"/>
  <c r="J48"/>
  <c r="D49"/>
  <c r="E49"/>
  <c r="G49"/>
  <c r="D12" i="29"/>
  <c r="D16" s="1"/>
  <c r="D30" s="1"/>
  <c r="D32" s="1"/>
  <c r="E12"/>
  <c r="E16" s="1"/>
  <c r="F12"/>
  <c r="F16" s="1"/>
  <c r="F25"/>
  <c r="H25" s="1"/>
  <c r="J25" s="1"/>
  <c r="F26"/>
  <c r="H26" s="1"/>
  <c r="J26" s="1"/>
  <c r="F27"/>
  <c r="H27" s="1"/>
  <c r="J27" s="1"/>
  <c r="F28"/>
  <c r="H28" s="1"/>
  <c r="J28" s="1"/>
  <c r="F29"/>
  <c r="H29" s="1"/>
  <c r="J29" s="1"/>
  <c r="D11" i="28"/>
  <c r="D15" s="1"/>
  <c r="D28" s="1"/>
  <c r="D30" s="1"/>
  <c r="E11"/>
  <c r="F11"/>
  <c r="F15" s="1"/>
  <c r="E15"/>
  <c r="F24"/>
  <c r="H24" s="1"/>
  <c r="J24" s="1"/>
  <c r="F25"/>
  <c r="H25" s="1"/>
  <c r="J25" s="1"/>
  <c r="F27"/>
  <c r="H27" s="1"/>
  <c r="J27" s="1"/>
  <c r="J38" i="27" l="1"/>
  <c r="I43"/>
  <c r="I51" s="1"/>
  <c r="I14" s="1"/>
  <c r="I16" s="1"/>
  <c r="J25" i="25"/>
  <c r="H28"/>
  <c r="J25" i="2"/>
  <c r="E70" i="40"/>
  <c r="D42" i="27"/>
  <c r="H37" i="40"/>
  <c r="E38"/>
  <c r="J32"/>
  <c r="E28" i="28"/>
  <c r="E30" s="1"/>
  <c r="E42" i="27"/>
  <c r="E43" s="1"/>
  <c r="E51" s="1"/>
  <c r="J12" i="25"/>
  <c r="J16" s="1"/>
  <c r="H78" i="40"/>
  <c r="H61"/>
  <c r="G70"/>
  <c r="G79" s="1"/>
  <c r="M70"/>
  <c r="M79" s="1"/>
  <c r="F28" i="28"/>
  <c r="E30" i="29"/>
  <c r="E32" s="1"/>
  <c r="F49" i="27"/>
  <c r="G52" i="2"/>
  <c r="J49" i="27"/>
  <c r="H19" i="40"/>
  <c r="H21" s="1"/>
  <c r="J70"/>
  <c r="J79" s="1"/>
  <c r="H74"/>
  <c r="H14"/>
  <c r="H15" s="1"/>
  <c r="D43" i="2"/>
  <c r="D44" s="1"/>
  <c r="D52" s="1"/>
  <c r="C54" i="26"/>
  <c r="H38" i="40"/>
  <c r="H68"/>
  <c r="H70" s="1"/>
  <c r="G14" i="27" s="1"/>
  <c r="H14" s="1"/>
  <c r="E32" i="40"/>
  <c r="F79"/>
  <c r="F50" i="2"/>
  <c r="J47"/>
  <c r="J50" s="1"/>
  <c r="F28" i="25"/>
  <c r="J28"/>
  <c r="I63" i="26"/>
  <c r="D43" i="27"/>
  <c r="D51" s="1"/>
  <c r="E12" i="2"/>
  <c r="E16" s="1"/>
  <c r="E43" s="1"/>
  <c r="E44" s="1"/>
  <c r="E52" s="1"/>
  <c r="D12" i="26"/>
  <c r="D16" s="1"/>
  <c r="D54" s="1"/>
  <c r="D55" s="1"/>
  <c r="D65" s="1"/>
  <c r="J14" i="27" l="1"/>
  <c r="J16" s="1"/>
  <c r="H16"/>
  <c r="E79" i="40"/>
  <c r="G14" i="2"/>
  <c r="H14" s="1"/>
  <c r="F30" i="28"/>
  <c r="H28"/>
  <c r="H30" s="1"/>
  <c r="F42" i="27"/>
  <c r="F43" s="1"/>
  <c r="F51" s="1"/>
  <c r="C55" i="26"/>
  <c r="C65" s="1"/>
  <c r="H82" i="40"/>
  <c r="F30" i="29"/>
  <c r="H83" i="40"/>
  <c r="G16" i="27"/>
  <c r="I16" i="29"/>
  <c r="I15" i="28"/>
  <c r="I16" i="25"/>
  <c r="G16" i="2"/>
  <c r="H32" i="40"/>
  <c r="E54" i="26"/>
  <c r="F43" i="2"/>
  <c r="H43" s="1"/>
  <c r="I30" i="28"/>
  <c r="J14" i="2" l="1"/>
  <c r="J16" s="1"/>
  <c r="H16"/>
  <c r="F32" i="29"/>
  <c r="H30"/>
  <c r="J28" i="28"/>
  <c r="J30" s="1"/>
  <c r="I32" i="29"/>
  <c r="G43" i="27"/>
  <c r="G51" s="1"/>
  <c r="H42"/>
  <c r="J43" i="2"/>
  <c r="J44" s="1"/>
  <c r="J52" s="1"/>
  <c r="H44"/>
  <c r="H52" s="1"/>
  <c r="H79" i="40"/>
  <c r="F14" i="26"/>
  <c r="G14" s="1"/>
  <c r="E55"/>
  <c r="E65" s="1"/>
  <c r="F44" i="2"/>
  <c r="F52" s="1"/>
  <c r="I14" i="26" l="1"/>
  <c r="I16" s="1"/>
  <c r="G16"/>
  <c r="J30" i="29"/>
  <c r="J32" s="1"/>
  <c r="H32"/>
  <c r="J42" i="27"/>
  <c r="J43" s="1"/>
  <c r="J51" s="1"/>
  <c r="H43"/>
  <c r="H51" s="1"/>
  <c r="F16" i="26"/>
  <c r="F54"/>
  <c r="G54" s="1"/>
  <c r="I54" l="1"/>
  <c r="G55"/>
  <c r="G65" s="1"/>
  <c r="F55"/>
  <c r="F65" s="1"/>
  <c r="I55"/>
  <c r="I65" s="1"/>
</calcChain>
</file>

<file path=xl/sharedStrings.xml><?xml version="1.0" encoding="utf-8"?>
<sst xmlns="http://schemas.openxmlformats.org/spreadsheetml/2006/main" count="2409" uniqueCount="555">
  <si>
    <t>Total</t>
  </si>
  <si>
    <t>LEGAL &amp; DEMOCRATIC SERVICES</t>
  </si>
  <si>
    <t>Property Services</t>
  </si>
  <si>
    <t>Note</t>
  </si>
  <si>
    <t>Annual Budget</t>
  </si>
  <si>
    <t>Total Variance to date</t>
  </si>
  <si>
    <t xml:space="preserve"> </t>
  </si>
  <si>
    <t>£</t>
  </si>
  <si>
    <t>Expenditure</t>
  </si>
  <si>
    <t>Variance</t>
  </si>
  <si>
    <t>DEVELOPMENT SERVICES</t>
  </si>
  <si>
    <t>CORPORATE SERVICES</t>
  </si>
  <si>
    <t xml:space="preserve">Service </t>
  </si>
  <si>
    <t>PEOPLE, POLICY &amp; PERFORMANCE SERVICES</t>
  </si>
  <si>
    <t>COMMUNITY SERVICES</t>
  </si>
  <si>
    <t>APPENDIX A1</t>
  </si>
  <si>
    <t>APPENDIX A3</t>
  </si>
  <si>
    <t>APPENDIX A4</t>
  </si>
  <si>
    <t>APPENDIX A5</t>
  </si>
  <si>
    <t>APPENDIX A6</t>
  </si>
  <si>
    <t>CARLISLE RENAISSANCE</t>
  </si>
  <si>
    <t>Miscellaneous variances</t>
  </si>
  <si>
    <t>Gross</t>
  </si>
  <si>
    <t>Income</t>
  </si>
  <si>
    <t>Recharges</t>
  </si>
  <si>
    <t>Recovery</t>
  </si>
  <si>
    <t>Civic Centre Accommodation</t>
  </si>
  <si>
    <t>Tullie House</t>
  </si>
  <si>
    <t>Town Twinning</t>
  </si>
  <si>
    <t>Policy &amp; Performance</t>
  </si>
  <si>
    <t>Carry forwards</t>
  </si>
  <si>
    <t>Adjusted Variance</t>
  </si>
  <si>
    <t>Adjusted</t>
  </si>
  <si>
    <t>Forward</t>
  </si>
  <si>
    <t>Carry</t>
  </si>
  <si>
    <t>Analysis of Variances and Carry Forwards</t>
  </si>
  <si>
    <t>Brampton Business Centre</t>
  </si>
  <si>
    <t>Local Plans</t>
  </si>
  <si>
    <t>Affordable Housing</t>
  </si>
  <si>
    <t>Decent Homes</t>
  </si>
  <si>
    <t>CCTV</t>
  </si>
  <si>
    <t>Community &amp; Culture Management</t>
  </si>
  <si>
    <t>Food Safety</t>
  </si>
  <si>
    <t>Corporate Management</t>
  </si>
  <si>
    <t>Concessionary Fares</t>
  </si>
  <si>
    <t>Parking</t>
  </si>
  <si>
    <t>Recycling &amp; Waste Management</t>
  </si>
  <si>
    <t xml:space="preserve">Total </t>
  </si>
  <si>
    <t>Energy Efficiency Advice Centre</t>
  </si>
  <si>
    <t>Land Charges</t>
  </si>
  <si>
    <t>Bereavement Services</t>
  </si>
  <si>
    <t>Treasury Management</t>
  </si>
  <si>
    <t>Total Actual</t>
  </si>
  <si>
    <t>General Expenses</t>
  </si>
  <si>
    <t>LABGI</t>
  </si>
  <si>
    <t>Insurance holding account</t>
  </si>
  <si>
    <t>Business &amp; Employment Development</t>
  </si>
  <si>
    <t>Industrial Estates</t>
  </si>
  <si>
    <t>Development Control</t>
  </si>
  <si>
    <t>Garage</t>
  </si>
  <si>
    <t xml:space="preserve">Green Spaces  </t>
  </si>
  <si>
    <t>Highways Claimed Rights</t>
  </si>
  <si>
    <t>Land Drainage</t>
  </si>
  <si>
    <t>Miscellaneous Highways Expenses</t>
  </si>
  <si>
    <t>Sports Development</t>
  </si>
  <si>
    <t>Management</t>
  </si>
  <si>
    <t>Financial Services</t>
  </si>
  <si>
    <t>Revenues &amp; Benefits Services</t>
  </si>
  <si>
    <t>Corporate Activities</t>
  </si>
  <si>
    <t>Revenues &amp; Benefits sundry</t>
  </si>
  <si>
    <t>Highways</t>
  </si>
  <si>
    <t>CODE</t>
  </si>
  <si>
    <t>DESCRIPTION</t>
  </si>
  <si>
    <t>12857/1081/67001</t>
  </si>
  <si>
    <t>38910/3712</t>
  </si>
  <si>
    <t>22210/3430</t>
  </si>
  <si>
    <t>PEOPLE, POLICY &amp; PERFORMANCE</t>
  </si>
  <si>
    <t>Requests</t>
  </si>
  <si>
    <t>37011/3897</t>
  </si>
  <si>
    <t>12857/1081</t>
  </si>
  <si>
    <t>Small Scale Community Projects</t>
  </si>
  <si>
    <t>15010/4017/53003</t>
  </si>
  <si>
    <t>25701/0897/62052</t>
  </si>
  <si>
    <t>35020/0897/72002</t>
  </si>
  <si>
    <t>ICT Shared Service</t>
  </si>
  <si>
    <t>Pre Approval Project &amp; External Staff</t>
  </si>
  <si>
    <t>Personnel</t>
  </si>
  <si>
    <t>Legal Services</t>
  </si>
  <si>
    <t>Civic Administration</t>
  </si>
  <si>
    <t>Electoral Registration</t>
  </si>
  <si>
    <t>Carlisle Renaissance Projects</t>
  </si>
  <si>
    <t>Hostels &amp; Homeshares</t>
  </si>
  <si>
    <t>Market</t>
  </si>
  <si>
    <t>Environmental Quality</t>
  </si>
  <si>
    <t>Community Support</t>
  </si>
  <si>
    <t>Sure Start</t>
  </si>
  <si>
    <t>Debtors</t>
  </si>
  <si>
    <t>Council Tax Benefits Payments &amp; Subsidy</t>
  </si>
  <si>
    <t>Housing Benefit Payments &amp; Subsidy</t>
  </si>
  <si>
    <t>ICT Shared Services</t>
  </si>
  <si>
    <t>Shared Service income (Revs &amp; Bens Management Copeland)</t>
  </si>
  <si>
    <t>Same service by different provider. TUPE Transfer</t>
  </si>
  <si>
    <t>Review Operation of TIC</t>
  </si>
  <si>
    <t>Printing &amp; Copying Review</t>
  </si>
  <si>
    <t>Providing no detrimental effect on service</t>
  </si>
  <si>
    <t>Renewals Reserve Savings</t>
  </si>
  <si>
    <t>Alternative method of financing required</t>
  </si>
  <si>
    <t>Conference Group</t>
  </si>
  <si>
    <t>Through revised working practices aims to be self funding</t>
  </si>
  <si>
    <t>Stores</t>
  </si>
  <si>
    <t>Based on 5% of 2008/09 Budget = (£48,600+ £96,400)</t>
  </si>
  <si>
    <t>Customer Services</t>
  </si>
  <si>
    <t>Based on 5% of 2008/09 Budget = £724,000</t>
  </si>
  <si>
    <t>Based on September 2008 Business Case</t>
  </si>
  <si>
    <t>ICT Shared Service - Capital Expenditure</t>
  </si>
  <si>
    <t>Minimum of £20k DIP transferred from Customer Services</t>
  </si>
  <si>
    <t>VAT Refund - Interest</t>
  </si>
  <si>
    <t>VAT Refund:</t>
  </si>
  <si>
    <t>Cultural Services</t>
  </si>
  <si>
    <t>East Cumbria Countryside Partnership</t>
  </si>
  <si>
    <t>Lanes equity rental</t>
  </si>
  <si>
    <t>Planning litigation</t>
  </si>
  <si>
    <t>APPENDIX A2 (2)</t>
  </si>
  <si>
    <t>APPENDIX A2 (1)</t>
  </si>
  <si>
    <t>Sport &amp; Recreation</t>
  </si>
  <si>
    <t>In Year Budget Initiatives</t>
  </si>
  <si>
    <t>Building Maintenance Efficiency Review</t>
  </si>
  <si>
    <t>Building Maintenance Review - Pensions</t>
  </si>
  <si>
    <t>2009/10 REVENUE CARRY FORWARD REQUESTS</t>
  </si>
  <si>
    <t>Form signed by Assistant Director / Strategic Director</t>
  </si>
  <si>
    <t>Budget Carried forward at end of 2008/09</t>
  </si>
  <si>
    <t>Category (Note 1)</t>
  </si>
  <si>
    <t>Evidence provided of carry forward</t>
  </si>
  <si>
    <t>SECTION</t>
  </si>
  <si>
    <t>2010/11</t>
  </si>
  <si>
    <t>2011/12</t>
  </si>
  <si>
    <t>2012/13</t>
  </si>
  <si>
    <t>Portfolio Holder</t>
  </si>
  <si>
    <t>Assistant Director</t>
  </si>
  <si>
    <t>37011/0897</t>
  </si>
  <si>
    <t>37011/2502</t>
  </si>
  <si>
    <t>37011/3107</t>
  </si>
  <si>
    <t>37011/3302</t>
  </si>
  <si>
    <t>37011/3421</t>
  </si>
  <si>
    <t>37011/3430</t>
  </si>
  <si>
    <t>Yes</t>
  </si>
  <si>
    <t>?</t>
  </si>
  <si>
    <t>29010/3417</t>
  </si>
  <si>
    <t>29100/4017</t>
  </si>
  <si>
    <t>Shared Services Efficiencies - Audit</t>
  </si>
  <si>
    <t>Residual budget required in future years to progress new shared service initiatives or other options for delivery of services in accordance with the transformation process.</t>
  </si>
  <si>
    <t>Cllr Mallinson</t>
  </si>
  <si>
    <t>Peter Mason</t>
  </si>
  <si>
    <t>B</t>
  </si>
  <si>
    <t>CORP18/09</t>
  </si>
  <si>
    <t>30710/0897</t>
  </si>
  <si>
    <t>Shared Services Efficiencies - Benefits</t>
  </si>
  <si>
    <t>Earmarked to deliver the e-government agenda and customer-focused improvements to the Benefits Service.  Originally funded by DWP and should be used for original purpose .</t>
  </si>
  <si>
    <t>A</t>
  </si>
  <si>
    <t>CORP37/09</t>
  </si>
  <si>
    <t>29600/7050/66217</t>
  </si>
  <si>
    <t>Direct Revenue Financing</t>
  </si>
  <si>
    <t>Budgets originally allocated to fund schemes within the 2009/10 capital programme which have now slipped into 2010/11.  Balance required to be determined.</t>
  </si>
  <si>
    <t>to fund capital expenditure</t>
  </si>
  <si>
    <t>10010/1014/51101</t>
  </si>
  <si>
    <t>Environmental Enhancement - City Centre</t>
  </si>
  <si>
    <t>LABGI funding re improving pedestrian access to City Centre e.g. Repainting underpasses in Hardwick Circus</t>
  </si>
  <si>
    <t>No</t>
  </si>
  <si>
    <t>Cllr Bloxham</t>
  </si>
  <si>
    <t>Angela Culleton</t>
  </si>
  <si>
    <t>10610/1022/10009</t>
  </si>
  <si>
    <t>Plant repair and maintenance for pumping station at Cumwhinton.</t>
  </si>
  <si>
    <t>Work started March 2010</t>
  </si>
  <si>
    <t>Individual allocations for members for commitments on community projects.</t>
  </si>
  <si>
    <t>A/B</t>
  </si>
  <si>
    <t>Theatre/Art Centre</t>
  </si>
  <si>
    <t>Ongoing project for research and investigation of supporting arts and culture facility development.</t>
  </si>
  <si>
    <t>Keith Gerrard</t>
  </si>
  <si>
    <t>15010/4017/53310</t>
  </si>
  <si>
    <t>Tullie House Trust</t>
  </si>
  <si>
    <t>To facilitate the transfer of Tullie House museum to trust status as agreed by the Executive</t>
  </si>
  <si>
    <t>Mark Lambert</t>
  </si>
  <si>
    <t>Agreed by Executive</t>
  </si>
  <si>
    <t>15150/4017/53054</t>
  </si>
  <si>
    <t>Roman Gateway</t>
  </si>
  <si>
    <t>External LABGI funding lodged with Green Spaces relating to consultants fees in respect of the Roman Gateway Public Realm project.</t>
  </si>
  <si>
    <t>15160/4001/53123</t>
  </si>
  <si>
    <t>Chances Park</t>
  </si>
  <si>
    <t>Chances Park activities officer and related costs up to December 2013.  Profile between years required.</t>
  </si>
  <si>
    <t>External funding</t>
  </si>
  <si>
    <t>15160/8152/53123</t>
  </si>
  <si>
    <t>HLF Funding for Chances Park activities officer and related costs</t>
  </si>
  <si>
    <t>16510/0101</t>
  </si>
  <si>
    <t>To fund Monitoring &amp; Evaluation post as agreed through vacancy management - profile over 2 years required.</t>
  </si>
  <si>
    <t>VM201/09</t>
  </si>
  <si>
    <t>16510/3001/53395</t>
  </si>
  <si>
    <t>Social Inclusion Intervention Programme</t>
  </si>
  <si>
    <t>External funding supports the delivery programme for social inclusion activity co-ordinated through the section. Profile over 2 years required.</t>
  </si>
  <si>
    <t>16570/4017/53403</t>
  </si>
  <si>
    <t>Sands Centre</t>
  </si>
  <si>
    <r>
      <t xml:space="preserve">To accommodate payments to </t>
    </r>
    <r>
      <rPr>
        <b/>
        <sz val="12"/>
        <rFont val="Arial"/>
        <family val="2"/>
      </rPr>
      <t>committed</t>
    </r>
    <r>
      <rPr>
        <sz val="12"/>
        <rFont val="Arial"/>
        <family val="2"/>
      </rPr>
      <t xml:space="preserve"> contracts with consultants delayed due to decision from University of Cumbria</t>
    </r>
  </si>
  <si>
    <t>Cllr Ellis</t>
  </si>
  <si>
    <t>21500/3011/59226</t>
  </si>
  <si>
    <t>Community Support Project Development</t>
  </si>
  <si>
    <t xml:space="preserve">To top up funding for the replacement of a vehicle in the capital programme where there is a shortfall. </t>
  </si>
  <si>
    <t>24300/0897/62306</t>
  </si>
  <si>
    <t>To fund extension of current temporary post of District Health and Safety Officer between 01/04/2011 and 06/01/2012.</t>
  </si>
  <si>
    <t>Cllr Luckley</t>
  </si>
  <si>
    <t>employment contract</t>
  </si>
  <si>
    <t>Employee Budget to fund existing post appointed cross year.</t>
  </si>
  <si>
    <t>26000/0897/67001</t>
  </si>
  <si>
    <t>Housing Regeneration</t>
  </si>
  <si>
    <t>Employee Budget allocated from second homes council tax funding for an empty property officer post.</t>
  </si>
  <si>
    <t>21150/0472</t>
  </si>
  <si>
    <t>Business&amp;Employment</t>
  </si>
  <si>
    <t>To cover redundancy costs for employee temporarily redeployed (DS127/08)</t>
  </si>
  <si>
    <t>Chris Hardman</t>
  </si>
  <si>
    <t>DS127/08</t>
  </si>
  <si>
    <t>21050/4017/59033</t>
  </si>
  <si>
    <t>DS48/09 LABGI</t>
  </si>
  <si>
    <t>50010/3897</t>
  </si>
  <si>
    <t>DS71/09 LABGI</t>
  </si>
  <si>
    <t>Employment Projects</t>
  </si>
  <si>
    <t>LABGI for implementation of projects relating to the 'Worklessness' agenda within Economic Strategy (DS71/09)</t>
  </si>
  <si>
    <t>50050/3729/88052</t>
  </si>
  <si>
    <t>50052/4001/59034</t>
  </si>
  <si>
    <t>50052/4017/59035</t>
  </si>
  <si>
    <t>50052/3729/59036</t>
  </si>
  <si>
    <t>50052/4017/59037</t>
  </si>
  <si>
    <t>50080/4017</t>
  </si>
  <si>
    <t>41010/4017</t>
  </si>
  <si>
    <t>To engage consultant advice needed to assist with the delivery of the review of the Council's property portfolio.</t>
  </si>
  <si>
    <t>Budget in 2010/11</t>
  </si>
  <si>
    <t>38310/0101/75016</t>
  </si>
  <si>
    <t>38310/0102/75016</t>
  </si>
  <si>
    <t>38310/0103/75016</t>
  </si>
  <si>
    <t>38310/2501/75016</t>
  </si>
  <si>
    <t>Planning Services</t>
  </si>
  <si>
    <t>Planning Standards training posts</t>
  </si>
  <si>
    <t>38310/4017/78009</t>
  </si>
  <si>
    <t>Re Development Land at Morton - preparation and submission of planning application (DS94/09)</t>
  </si>
  <si>
    <t>DS94/09</t>
  </si>
  <si>
    <t>38610/0101/75016</t>
  </si>
  <si>
    <t>38610/0102/75016</t>
  </si>
  <si>
    <t>38610/0103/75016</t>
  </si>
  <si>
    <t>38610/2501/75016</t>
  </si>
  <si>
    <t>38610/2502/75016</t>
  </si>
  <si>
    <t>Historic Building Grants awarded but not yet paid out</t>
  </si>
  <si>
    <t>LEGAL &amp; DEMOCRATIC</t>
  </si>
  <si>
    <t>Rolling 3 year programme to fund the Council's Town Twinning activities.</t>
  </si>
  <si>
    <t>3 year rolling programme</t>
  </si>
  <si>
    <t>32350/0897</t>
  </si>
  <si>
    <t>SF469 - employment contract</t>
  </si>
  <si>
    <t>Pay &amp; Workforce Strategy</t>
  </si>
  <si>
    <t>Required to complete implementation of PWS project.</t>
  </si>
  <si>
    <t>36010/0610/72130</t>
  </si>
  <si>
    <t>Corporate Training</t>
  </si>
  <si>
    <t>To fund design and implementation of a new appraisal scheme</t>
  </si>
  <si>
    <t>Cllr Earp</t>
  </si>
  <si>
    <t xml:space="preserve">TOTAL GENERAL FUND CARRY FORWARD REQUESTS </t>
  </si>
  <si>
    <t>Note 1</t>
  </si>
  <si>
    <t>A - Committed expenditure (to be used for original purpose/externally funded)</t>
  </si>
  <si>
    <t>B - New items of Expenditure</t>
  </si>
  <si>
    <t>PROVISIONAL GENERAL FUND REVENUE OUTTURN 2009/10</t>
  </si>
  <si>
    <t>Position as at 31 March 2010</t>
  </si>
  <si>
    <t>Municipal Elections</t>
  </si>
  <si>
    <t>To fund shadow post to retiring Elections Officer approved by Staffing Forum.</t>
  </si>
  <si>
    <t>Community Safety (CDRP)</t>
  </si>
  <si>
    <t>Durranhill Industrial Estate</t>
  </si>
  <si>
    <t>Sands</t>
  </si>
  <si>
    <t>Countryside Recreation</t>
  </si>
  <si>
    <t>City Centre [Pedestrianisation]</t>
  </si>
  <si>
    <t>Building Maintenance</t>
  </si>
  <si>
    <t>Customer Contact</t>
  </si>
  <si>
    <t>Area Maintenance</t>
  </si>
  <si>
    <t>Enterprise Centre</t>
  </si>
  <si>
    <t>Corporate Properties</t>
  </si>
  <si>
    <t>Housing &amp; Planning Delivery Grant</t>
  </si>
  <si>
    <t>Growth Point Fund</t>
  </si>
  <si>
    <t>Audit Services</t>
  </si>
  <si>
    <t>Corporate Services</t>
  </si>
  <si>
    <t xml:space="preserve">Salary Turnover Savings   </t>
  </si>
  <si>
    <t>Transformation, Vacancy Management &amp;</t>
  </si>
  <si>
    <t>CSR07 - 2007/08 Baseline Expenditure</t>
  </si>
  <si>
    <t>Total Baseline Expenditure</t>
  </si>
  <si>
    <t>Cumulative Targets for period 2008/09 to 2010/11 as a percentage of above Baseline</t>
  </si>
  <si>
    <t>Identified</t>
  </si>
  <si>
    <t>2008/09 CSR07 Efficiency Target = 3%</t>
  </si>
  <si>
    <t>2009/10 CSR07 Efficiency Target = 6.10%</t>
  </si>
  <si>
    <t>2010/11 CSR07 Efficiency Target = 10.30% (#)</t>
  </si>
  <si>
    <t>(#) = increase in 2010/11 by 1% point to be added to the total savings target</t>
  </si>
  <si>
    <t>CSR07/National Indicator 179 - Cash Releasing Value for Money Gains</t>
  </si>
  <si>
    <t>Savings Strategy Criteria</t>
  </si>
  <si>
    <t>2008/09 Actual Achieved</t>
  </si>
  <si>
    <t>2009/10 Actual</t>
  </si>
  <si>
    <t>2010/11 Forecast</t>
  </si>
  <si>
    <t>2011/12 Forecast</t>
  </si>
  <si>
    <t>2012/13 Forecast</t>
  </si>
  <si>
    <t>2013/14 Forecast</t>
  </si>
  <si>
    <t>2014/15 Forecast</t>
  </si>
  <si>
    <t xml:space="preserve">Notes: How Obtained? </t>
  </si>
  <si>
    <t>Eff Review</t>
  </si>
  <si>
    <t>Increased capacity obtained through joint working</t>
  </si>
  <si>
    <t>Community Development Review</t>
  </si>
  <si>
    <t>Initial efficiency obtained via staff deletion  - Action plan produced for future years</t>
  </si>
  <si>
    <t>Carbon Trust - Invest to Save</t>
  </si>
  <si>
    <t>Capital Investment - efficiency achieved through lower energy useage/consumption</t>
  </si>
  <si>
    <t>Procurement - phase 1</t>
  </si>
  <si>
    <t>Smarter Procurement reduction at source included in Base Budget 2008/09</t>
  </si>
  <si>
    <t>Sub total:</t>
  </si>
  <si>
    <t>Increased income from management arrangement with Copeland BC. No additional R&amp;B resources employed</t>
  </si>
  <si>
    <t>Shared Service Revenues &amp; Benefits</t>
  </si>
  <si>
    <t>Business Plan savings from Shared service</t>
  </si>
  <si>
    <t>Budget Saving</t>
  </si>
  <si>
    <t>Asset Disposals - interest on Capital Receipts</t>
  </si>
  <si>
    <t>Now considered CSR07 compliant</t>
  </si>
  <si>
    <t>Cash Limited Budgets - General Inflation</t>
  </si>
  <si>
    <t>January 2010  - as instructed by AT.</t>
  </si>
  <si>
    <t>Salary Turnover</t>
  </si>
  <si>
    <t>Positions temporarily vacant prior to recruitment.</t>
  </si>
  <si>
    <t>Transformation/Vacancy Management</t>
  </si>
  <si>
    <t>Trans</t>
  </si>
  <si>
    <t>Posts Deleted from Establishment</t>
  </si>
  <si>
    <t>Transformation/Restructure (See I&amp;ER section below)</t>
  </si>
  <si>
    <t>Shared Management arrangements - better use of resources through more efficient structure</t>
  </si>
  <si>
    <t>CSR07/NI179 Total :</t>
  </si>
  <si>
    <t>Improvement &amp; Efficiency Reviews - The following form part of Corporate Transformation programme above.</t>
  </si>
  <si>
    <t>Car Park Management</t>
  </si>
  <si>
    <t>County Wide collaborative proposed - Option appraisal underway</t>
  </si>
  <si>
    <t>CCTV Cumbria Wide</t>
  </si>
  <si>
    <t>County Wide Systems and Hardware review</t>
  </si>
  <si>
    <t>Service Support Centre - Centralised Service</t>
  </si>
  <si>
    <t>Business Case Accepted  - PID underway</t>
  </si>
  <si>
    <t>Highways Service</t>
  </si>
  <si>
    <t>Review of whole Service Includes the Highways Agency Issue - ASD</t>
  </si>
  <si>
    <t>Buildings Cleaning</t>
  </si>
  <si>
    <t>Review of the Cleaning function - ASD</t>
  </si>
  <si>
    <t>Leased Cars</t>
  </si>
  <si>
    <t>Review undertaken by Task &amp; Finish Group</t>
  </si>
  <si>
    <t>Mobile Phones</t>
  </si>
  <si>
    <t>Rationalisation of numbers in use etc..</t>
  </si>
  <si>
    <t>Waste Service Review</t>
  </si>
  <si>
    <t>Review of Waste function/Market Testing/Green Box Procurement etc..</t>
  </si>
  <si>
    <t>Internal Audit Service</t>
  </si>
  <si>
    <t>Shared Service Exercise  - Implementation target 2010</t>
  </si>
  <si>
    <t>Procurement - phase 2</t>
  </si>
  <si>
    <t>Shared Service Exercise - Implementation target 2010</t>
  </si>
  <si>
    <t>Payroll</t>
  </si>
  <si>
    <t>Shared Service Exercise yet to be undertaken</t>
  </si>
  <si>
    <t>Personnel/HR</t>
  </si>
  <si>
    <t>Customer Contact Centre/CRM shared service</t>
  </si>
  <si>
    <t>Shared Service - Preparatory Stage</t>
  </si>
  <si>
    <t>Property Services - Service Review</t>
  </si>
  <si>
    <t>10 year programme</t>
  </si>
  <si>
    <t>Deletion of Vacant Posts</t>
  </si>
  <si>
    <t>Deletion from establishment of vacant posts</t>
  </si>
  <si>
    <t>Management Restructure</t>
  </si>
  <si>
    <t>Senior Management Restructure</t>
  </si>
  <si>
    <t xml:space="preserve">Improvement &amp; Efficiency Reviews - Non Cashable Gains </t>
  </si>
  <si>
    <t>Arts &amp; Museums</t>
  </si>
  <si>
    <t>Council withdrawing from External event at Brampton Live</t>
  </si>
  <si>
    <t>Creditors - now part of Service Support Centre proposal</t>
  </si>
  <si>
    <t>Brampton Business &amp; Telecentre</t>
  </si>
  <si>
    <t>Council has closed the facility.</t>
  </si>
  <si>
    <t>Other Efficiencies Identified/Obtained:</t>
  </si>
  <si>
    <t>Shared Chief Executive Arrangement with Allerdale BC</t>
  </si>
  <si>
    <t>Single Year Efficiency Only not CSR07 compliant</t>
  </si>
  <si>
    <t xml:space="preserve">Waste Services cessation of Trade waste service </t>
  </si>
  <si>
    <t>Reduction of Trade Waste Vehicle &amp; Sale of Service</t>
  </si>
  <si>
    <t>Property Services - Asset Investment</t>
  </si>
  <si>
    <t>Increase in income from Assets</t>
  </si>
  <si>
    <t>Other Efficiencies Total :</t>
  </si>
  <si>
    <t>Transformation</t>
  </si>
  <si>
    <t>Efficiency Review to obtain Budget Savings taken from base</t>
  </si>
  <si>
    <t>Budget Savings - Immediate Reduction from Base.</t>
  </si>
  <si>
    <t>Total: -</t>
  </si>
  <si>
    <t>L:\Gershon\2009-10 CSR07</t>
  </si>
  <si>
    <t>CE</t>
  </si>
  <si>
    <t>ED</t>
  </si>
  <si>
    <t>R</t>
  </si>
  <si>
    <t>Conservation</t>
  </si>
  <si>
    <t>LE</t>
  </si>
  <si>
    <t>SD</t>
  </si>
  <si>
    <t>Children &amp; Young People</t>
  </si>
  <si>
    <t>Stores &amp; Stock Account</t>
  </si>
  <si>
    <t>Talkin Tarn</t>
  </si>
  <si>
    <t>Building Cleaning</t>
  </si>
  <si>
    <t>CE'sO</t>
  </si>
  <si>
    <t xml:space="preserve">CE </t>
  </si>
  <si>
    <t>Corporate Training &amp; Recruitment</t>
  </si>
  <si>
    <t>Increased income from operations.</t>
  </si>
  <si>
    <t>Overspend on sub contractor costs for maintenance work.</t>
  </si>
  <si>
    <t xml:space="preserve">Increased energy costs only partly offset by contributions towards electricity usage. </t>
  </si>
  <si>
    <t>Under budget supplies and services and staff costs to be carried forward to provide a Health and Safety</t>
  </si>
  <si>
    <t xml:space="preserve">Underspend on maintenance costs for pumping stations to be carried forward. </t>
  </si>
  <si>
    <t>Savings on transport hire of £113,000 and £74,400 on repairs, attributable to the early termination of the</t>
  </si>
  <si>
    <t>vehicle hire contracts, and £34,700 underspend on the Green Box contract.</t>
  </si>
  <si>
    <t>The carry forward is required to facilitate the transfer of Tullie House museum to trust status and for ongoing research</t>
  </si>
  <si>
    <t>research into supporting arts and culture facility development.</t>
  </si>
  <si>
    <t>Underachieved budget savings requirement.</t>
  </si>
  <si>
    <t>Underspend on employee costs.</t>
  </si>
  <si>
    <t>Overspend of £27,800 on energy costs and unachieved £29,200 budget savings requirement. The residual</t>
  </si>
  <si>
    <t>balance relates to income shortfalls, particularly from the visitors' shop.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</si>
  <si>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</si>
  <si>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</si>
  <si>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</si>
  <si>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</si>
  <si>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</si>
  <si>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</si>
  <si>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</si>
  <si>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</si>
  <si>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</si>
  <si>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</si>
  <si>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</si>
  <si>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</si>
  <si>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</si>
  <si>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</si>
  <si>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</si>
  <si>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</si>
  <si>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</si>
  <si>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</si>
  <si>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</si>
  <si>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</si>
  <si>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</si>
  <si>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</si>
  <si>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</si>
  <si>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</si>
  <si>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</si>
  <si>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</si>
  <si>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</si>
  <si>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</si>
  <si>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</si>
  <si>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and burial rights.</t>
  </si>
  <si>
    <t>Directorate</t>
  </si>
  <si>
    <t>Key:</t>
  </si>
  <si>
    <t>SD - Strategic Director</t>
  </si>
  <si>
    <t>R - Resources</t>
  </si>
  <si>
    <t>CE - Community Engagement</t>
  </si>
  <si>
    <t>Highways Maintenance</t>
  </si>
  <si>
    <t>ECCP</t>
  </si>
  <si>
    <t>City Centre</t>
  </si>
  <si>
    <t>Miscellaneous Highways</t>
  </si>
  <si>
    <t>Community &amp; Culture</t>
  </si>
  <si>
    <t>Recycling &amp; Waste</t>
  </si>
  <si>
    <t>Civic Centre</t>
  </si>
  <si>
    <t>Carry forward required for Monitoring &amp; Evaluation post, as agreed through vacancy management.</t>
  </si>
  <si>
    <t>Service</t>
  </si>
  <si>
    <t>Carry Forwards</t>
  </si>
  <si>
    <t>ED - Economic Development</t>
  </si>
  <si>
    <t>CE'sO - Chief Executive's Office</t>
  </si>
  <si>
    <t>Carry forward relates to committed expenditure for Small Scale community projects.</t>
  </si>
  <si>
    <t>£30,900 crematorium income shortfall partly offset by cemeteries surplus of £12,100 on sales of headstones</t>
  </si>
  <si>
    <t xml:space="preserve">End of contract balance following the transfer of closing stock value. </t>
  </si>
  <si>
    <t xml:space="preserve">Officer, as previously approved. </t>
  </si>
  <si>
    <t>Underspent administration costs held centrally, particularly recruitment and software purchases, and LABGI</t>
  </si>
  <si>
    <t>funding for City Centre premises alterations to be carried forward.</t>
  </si>
  <si>
    <t xml:space="preserve">Overspend on materials and supplies, offset by increased recharges. </t>
  </si>
  <si>
    <t>Overspend on materials and supplies, offset by increased recharges.</t>
  </si>
  <si>
    <t xml:space="preserve">Funding committed and earmarked for carry forward. </t>
  </si>
  <si>
    <t>Slippage against projects progressed in 2009/10.</t>
  </si>
  <si>
    <t>Director's Comments</t>
  </si>
  <si>
    <t>Overspends on printing, unachieved budget savings and internal recharges.</t>
  </si>
  <si>
    <t>5</t>
  </si>
  <si>
    <t xml:space="preserve">Underspend on budgets for risk management, the best value performance plan and research &amp; consultation. </t>
  </si>
  <si>
    <t>This underspend relates to the CDRP pool budget contribution.</t>
  </si>
  <si>
    <t xml:space="preserve">The carry forward request is to fund the completion of the PWS project. </t>
  </si>
  <si>
    <t xml:space="preserve">These costs are recharged across the services, the carry forward is to fund a new staff appraisal scheme. </t>
  </si>
  <si>
    <t>Miscellaneous variances include underspends on the Community Empowerment scheme, Member Learning and</t>
  </si>
  <si>
    <t>Development, Staff Benefits and the Communications service.</t>
  </si>
  <si>
    <t>Savings taken from the court costs budget at revised estimate stage have not been achieved.</t>
  </si>
  <si>
    <t>Increased income from overpayment recovery.</t>
  </si>
  <si>
    <t>Savings over and above the contractor payments reduction at revised estimate stage [CORP49/09].</t>
  </si>
  <si>
    <t xml:space="preserve">Overspend on Discretionary Rate Relief offset by increased contributions to shared services and SLA's. </t>
  </si>
  <si>
    <t>Overspend on benchmarking fees and unachieved budget savings.</t>
  </si>
  <si>
    <t>Shortfall on income from overpayment recovery.</t>
  </si>
  <si>
    <t>The overspend relates to increased bank and card charges, offset by reduced core audit fees.</t>
  </si>
  <si>
    <t>LABGI for City Centre Partnership (DS48/09)</t>
  </si>
  <si>
    <t>LABGI unallocated as required to fund 2nd &amp; 3rd years of programme</t>
  </si>
  <si>
    <t>LABGI for Business Start up Programme - balance of second payments due to be claimed.</t>
  </si>
  <si>
    <t>LABGI for Business Start up Programme (DS48/09)</t>
  </si>
  <si>
    <t>LABGI for Business Incubation (DS48/09)</t>
  </si>
  <si>
    <t>LABGI for Growing Carlisle Local Economy Strategy (DS48/09)</t>
  </si>
  <si>
    <t>LABGI for Economic Action Plan for Brampton (DS48/09)</t>
  </si>
  <si>
    <t>LABGI for Old Town Hall redevelopment</t>
  </si>
  <si>
    <t>Shortfall on rents and service charges.</t>
  </si>
  <si>
    <t>The carry forward is required to fund future years' programme costs.</t>
  </si>
  <si>
    <t>Carry forwards for Local Economy Strategy, Brampton Action Plan, business start up and incubation projects.</t>
  </si>
  <si>
    <t>A carry forward for Planning Standards Bid training posts.</t>
  </si>
  <si>
    <t>Underspend due to a delayed start for Public Inquiry is matched by a reduction in grant income.</t>
  </si>
  <si>
    <t>Historic Buildings grant payments awarded and awaiting payment.</t>
  </si>
  <si>
    <t>Increased costs and surplus rents due to higher occupancy levels.</t>
  </si>
  <si>
    <t>Housing Strategy funding to be carried forward.</t>
  </si>
  <si>
    <t>VAT arrears write-off.</t>
  </si>
  <si>
    <t>Rent review arrears and surplus income from change of use of property.</t>
  </si>
  <si>
    <t>Overspend on unassigned rates appeals and surplus income from rent arrears.</t>
  </si>
  <si>
    <t>LE - Local Environment</t>
  </si>
  <si>
    <t>R &amp;</t>
  </si>
  <si>
    <t>Budget Available as at 18.05.2010</t>
  </si>
  <si>
    <t>41010/4017/78009</t>
  </si>
  <si>
    <t>Shared Services Efficiencies</t>
  </si>
  <si>
    <t>Residual budget required to meet the shared audit service business case development costs.</t>
  </si>
  <si>
    <t>41010/0893</t>
  </si>
  <si>
    <t>Net overspend mainly due to reduced investment income, as noted in earlier monitoring reports.</t>
  </si>
  <si>
    <t>The level of insurance claims has been lower than anticipated.</t>
  </si>
  <si>
    <t>Residual budget is to be carried forward to fund shared services business development costs.</t>
  </si>
  <si>
    <t>Carlisle Renaissance Operating Costs.  To provide a provision for post review costs and the continuation of salary expenditure.</t>
  </si>
  <si>
    <t>A reduced Bad Debt Provision subsequently recharged directly to the services.</t>
  </si>
  <si>
    <t>(Committed)</t>
  </si>
  <si>
    <t>(New items)</t>
  </si>
  <si>
    <t>(New Items)</t>
  </si>
  <si>
    <t>Carlisle Renaissance was awarded ringfenced funding of £1,020,000 over three years from 2005/06. Further ringfenced funding has</t>
  </si>
  <si>
    <t>been approved for 2009/10 and 2010/11.</t>
  </si>
  <si>
    <t>elsewhere, as reported at revised estimate stage</t>
  </si>
  <si>
    <t>Overspend on planning applications, retail capacity forecasts and shortfall on fees. The budgets set aside for the Morton Land Development</t>
  </si>
  <si>
    <t>and Planning Standards [3years] Bid are to be carried forward.</t>
  </si>
  <si>
    <t>This is a rolling budget for a 3 year programme and it will be used in 2010/11 to fund the Council's Town Twinning activities agreed at</t>
  </si>
  <si>
    <t>the Annual 3 way meeting.</t>
  </si>
  <si>
    <t>Municipal Elections are held every three years in four and there were none scheduled in 2009/10. The savings are to fund the shadow</t>
  </si>
  <si>
    <t>of the retiring Elections Officer approved by Staffing Forum.</t>
  </si>
  <si>
    <t>Legal costs and additional fees income. It will be recommended that £10,000 be used to set up a provision for the appointment of</t>
  </si>
  <si>
    <t>external investigators into Code of Conduct complaints.</t>
  </si>
  <si>
    <t xml:space="preserve">The income budget was reduced in anticipation of a housing market downturn. However, the corresponding reduction in the costs was </t>
  </si>
  <si>
    <t>not expected and the impact of the downturn less severe than forecast.</t>
  </si>
  <si>
    <t>Carry forward required for committed contract payments for Sands Development.</t>
  </si>
  <si>
    <t>The carry forward is required to fund schemes carried forward from the 09/10 capital programme.</t>
  </si>
  <si>
    <t>In spite of the adverse weather the City's car parks over achieved the annual expectation for ticket sales</t>
  </si>
  <si>
    <t>and increased income towards Public Rights of Way expenses.</t>
  </si>
  <si>
    <t>Underspend on Hadrians Wall to be carried forward, the receipt of transferred stock [see note 12 below]</t>
  </si>
  <si>
    <t>Reduced costs of catering and increased income from room bookings and related services.</t>
  </si>
  <si>
    <t xml:space="preserve"> and PCN's reduced in last year's revised estimates. In addition reduced management and contract costs</t>
  </si>
  <si>
    <t>contributed towards the surplus on these accounts.</t>
  </si>
  <si>
    <t>Underspends on Durranhill and other LABGI projects, the carry forward is to fund the LABGI partnership continuing into 2010/11.</t>
  </si>
  <si>
    <t>Underspend on property portfolio review expenses.</t>
  </si>
  <si>
    <t>Increased Dog Warden's service costs and a shortfall on Pest Control income offset by underspent supplies</t>
  </si>
  <si>
    <t>and services and specialist equipment.</t>
  </si>
  <si>
    <t>Insufficient budgets for grounds maintenance offset by underspends on play areas and specialist equipment.</t>
  </si>
  <si>
    <t>Higher than exected revenue from city centre events.</t>
  </si>
  <si>
    <t>Unrealised income from Pubwatch and Service Level Agreements offset by reduced maintenance costs.</t>
  </si>
  <si>
    <t>Increased costs and higher than expected income generated from activities and events provided a net surplus</t>
  </si>
  <si>
    <t>of £37,800, to be rolled forward as previously approved.</t>
  </si>
  <si>
    <t xml:space="preserve">       Extreme weather conditions delayed projects and forced the works programmes to be under achieved.</t>
  </si>
  <si>
    <t xml:space="preserve">       Council approved projects that will be carried forward.</t>
  </si>
  <si>
    <t xml:space="preserve">       and overheads are recoverable. This includes Highways Claimed Rights agency works and other County</t>
  </si>
  <si>
    <t>The carry forward to fund new shared service initiatives or other service delivery options in accordance with the Transformation process.</t>
  </si>
  <si>
    <t xml:space="preserve">       In addition unprecedented levels of winter maintenance diverted operations from budgets where costs</t>
  </si>
  <si>
    <t xml:space="preserve">Carry forward is required to provide funding for Empty Property Officer [2 years] post. </t>
  </si>
  <si>
    <t>The carry forward is for improvements to the Benefits service with the residual balance relating to savings achieved</t>
  </si>
  <si>
    <t>Improvement of £21,100 on Flexible Retirement and £241,900 Salary Turnover savings, offset by £32,700 shortfall on Vacancy Management.</t>
  </si>
  <si>
    <t>Overspend mainly due to unachieved budget savings and under recovered events expenses.</t>
  </si>
  <si>
    <t>The carry forward is required to meet employment costs for staff temporarily re-deployed.</t>
  </si>
  <si>
    <t>Underspends on compensation payments and other fees are matched by a reduction in grant income.</t>
  </si>
  <si>
    <t>To cover employment costs for employee temporarily redeployed (DS127/08)</t>
  </si>
  <si>
    <t>Earmarked to deliver the e-government agenda and customer-focused improvements to the Benefits Service.  Originally funded and 'ring-fenced' by DWP and should be used for original purpose .</t>
  </si>
  <si>
    <t>External LABGI funding lodged with Green Spaces relating to fees in respect of the Roman Gateway Public Realm project.</t>
  </si>
  <si>
    <r>
      <t xml:space="preserve">To accommodate payments for </t>
    </r>
    <r>
      <rPr>
        <b/>
        <sz val="12"/>
        <rFont val="Arial"/>
        <family val="2"/>
      </rPr>
      <t>committed</t>
    </r>
    <r>
      <rPr>
        <sz val="12"/>
        <rFont val="Arial"/>
        <family val="2"/>
      </rPr>
      <t xml:space="preserve"> contracts delayed due to decision from University of Cumbria</t>
    </r>
  </si>
</sst>
</file>

<file path=xl/styles.xml><?xml version="1.0" encoding="utf-8"?>
<styleSheet xmlns="http://schemas.openxmlformats.org/spreadsheetml/2006/main">
  <numFmts count="2">
    <numFmt numFmtId="164" formatCode="#,##0;\(#,##0\)"/>
    <numFmt numFmtId="165" formatCode="0.0%"/>
  </numFmts>
  <fonts count="16">
    <font>
      <sz val="10"/>
      <name val="Arial"/>
    </font>
    <font>
      <sz val="10"/>
      <color theme="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2"/>
      <color indexed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1" fillId="0" borderId="0"/>
    <xf numFmtId="0" fontId="1" fillId="0" borderId="0"/>
  </cellStyleXfs>
  <cellXfs count="533">
    <xf numFmtId="0" fontId="0" fillId="0" borderId="0" xfId="0"/>
    <xf numFmtId="164" fontId="3" fillId="0" borderId="0" xfId="0" applyNumberFormat="1" applyFont="1" applyFill="1"/>
    <xf numFmtId="164" fontId="2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/>
    <xf numFmtId="164" fontId="4" fillId="0" borderId="2" xfId="0" applyNumberFormat="1" applyFont="1" applyFill="1" applyBorder="1"/>
    <xf numFmtId="0" fontId="2" fillId="0" borderId="0" xfId="0" applyFont="1" applyFill="1" applyBorder="1"/>
    <xf numFmtId="164" fontId="4" fillId="0" borderId="3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/>
    <xf numFmtId="164" fontId="2" fillId="0" borderId="8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/>
    <xf numFmtId="164" fontId="4" fillId="0" borderId="12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2" fillId="0" borderId="6" xfId="0" applyNumberFormat="1" applyFont="1" applyFill="1" applyBorder="1"/>
    <xf numFmtId="164" fontId="4" fillId="0" borderId="9" xfId="0" applyNumberFormat="1" applyFont="1" applyFill="1" applyBorder="1"/>
    <xf numFmtId="164" fontId="2" fillId="0" borderId="11" xfId="0" applyNumberFormat="1" applyFont="1" applyFill="1" applyBorder="1"/>
    <xf numFmtId="164" fontId="4" fillId="0" borderId="12" xfId="0" applyNumberFormat="1" applyFont="1" applyFill="1" applyBorder="1"/>
    <xf numFmtId="164" fontId="4" fillId="0" borderId="11" xfId="0" applyNumberFormat="1" applyFont="1" applyFill="1" applyBorder="1"/>
    <xf numFmtId="164" fontId="4" fillId="0" borderId="18" xfId="0" applyNumberFormat="1" applyFont="1" applyFill="1" applyBorder="1"/>
    <xf numFmtId="164" fontId="4" fillId="0" borderId="19" xfId="0" applyNumberFormat="1" applyFont="1" applyFill="1" applyBorder="1"/>
    <xf numFmtId="164" fontId="2" fillId="0" borderId="1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/>
    <xf numFmtId="164" fontId="2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 vertical="top"/>
    </xf>
    <xf numFmtId="164" fontId="2" fillId="0" borderId="10" xfId="0" applyNumberFormat="1" applyFont="1" applyFill="1" applyBorder="1"/>
    <xf numFmtId="164" fontId="7" fillId="0" borderId="0" xfId="0" applyNumberFormat="1" applyFont="1" applyFill="1"/>
    <xf numFmtId="164" fontId="2" fillId="0" borderId="16" xfId="0" applyNumberFormat="1" applyFont="1" applyFill="1" applyBorder="1" applyAlignment="1"/>
    <xf numFmtId="164" fontId="2" fillId="0" borderId="16" xfId="0" applyNumberFormat="1" applyFont="1" applyFill="1" applyBorder="1"/>
    <xf numFmtId="164" fontId="2" fillId="0" borderId="0" xfId="0" applyNumberFormat="1" applyFont="1" applyFill="1" applyBorder="1" applyAlignment="1"/>
    <xf numFmtId="164" fontId="4" fillId="0" borderId="10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0" fontId="2" fillId="0" borderId="0" xfId="2" applyNumberFormat="1" applyFont="1" applyFill="1"/>
    <xf numFmtId="0" fontId="3" fillId="0" borderId="0" xfId="2" applyNumberFormat="1" applyFont="1" applyFill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164" fontId="2" fillId="0" borderId="0" xfId="2" applyNumberFormat="1" applyFont="1" applyFill="1"/>
    <xf numFmtId="164" fontId="2" fillId="0" borderId="0" xfId="2" applyNumberFormat="1" applyFont="1" applyFill="1" applyBorder="1"/>
    <xf numFmtId="164" fontId="2" fillId="0" borderId="0" xfId="2" applyNumberFormat="1" applyFont="1" applyFill="1" applyAlignment="1">
      <alignment horizontal="center"/>
    </xf>
    <xf numFmtId="164" fontId="2" fillId="0" borderId="0" xfId="2" applyNumberFormat="1" applyFont="1" applyFill="1" applyAlignment="1">
      <alignment horizontal="center" wrapText="1"/>
    </xf>
    <xf numFmtId="0" fontId="4" fillId="0" borderId="0" xfId="2" applyNumberFormat="1" applyFont="1" applyFill="1"/>
    <xf numFmtId="164" fontId="4" fillId="0" borderId="0" xfId="2" applyNumberFormat="1" applyFont="1" applyFill="1"/>
    <xf numFmtId="0" fontId="4" fillId="0" borderId="23" xfId="2" applyNumberFormat="1" applyFont="1" applyFill="1" applyBorder="1"/>
    <xf numFmtId="0" fontId="4" fillId="0" borderId="23" xfId="2" applyFont="1" applyFill="1" applyBorder="1"/>
    <xf numFmtId="164" fontId="4" fillId="0" borderId="23" xfId="2" applyNumberFormat="1" applyFont="1" applyFill="1" applyBorder="1" applyAlignment="1">
      <alignment horizontal="center"/>
    </xf>
    <xf numFmtId="164" fontId="4" fillId="0" borderId="25" xfId="2" applyNumberFormat="1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164" fontId="4" fillId="0" borderId="23" xfId="2" applyNumberFormat="1" applyFont="1" applyFill="1" applyBorder="1" applyAlignment="1">
      <alignment horizontal="center" vertical="center" wrapText="1"/>
    </xf>
    <xf numFmtId="0" fontId="4" fillId="0" borderId="25" xfId="2" applyNumberFormat="1" applyFont="1" applyFill="1" applyBorder="1"/>
    <xf numFmtId="0" fontId="4" fillId="0" borderId="25" xfId="2" applyFont="1" applyFill="1" applyBorder="1"/>
    <xf numFmtId="164" fontId="4" fillId="0" borderId="14" xfId="2" quotePrefix="1" applyNumberFormat="1" applyFont="1" applyFill="1" applyBorder="1" applyAlignment="1">
      <alignment horizontal="center"/>
    </xf>
    <xf numFmtId="164" fontId="4" fillId="0" borderId="30" xfId="2" quotePrefix="1" applyNumberFormat="1" applyFont="1" applyFill="1" applyBorder="1" applyAlignment="1">
      <alignment horizontal="center"/>
    </xf>
    <xf numFmtId="0" fontId="4" fillId="0" borderId="25" xfId="2" applyFont="1" applyFill="1" applyBorder="1" applyAlignment="1">
      <alignment horizontal="center"/>
    </xf>
    <xf numFmtId="164" fontId="4" fillId="0" borderId="29" xfId="2" applyNumberFormat="1" applyFont="1" applyFill="1" applyBorder="1" applyAlignment="1">
      <alignment horizontal="center" vertical="center" wrapText="1"/>
    </xf>
    <xf numFmtId="0" fontId="4" fillId="0" borderId="29" xfId="2" applyNumberFormat="1" applyFont="1" applyFill="1" applyBorder="1"/>
    <xf numFmtId="0" fontId="4" fillId="0" borderId="29" xfId="2" applyFont="1" applyFill="1" applyBorder="1"/>
    <xf numFmtId="164" fontId="4" fillId="0" borderId="20" xfId="2" quotePrefix="1" applyNumberFormat="1" applyFont="1" applyFill="1" applyBorder="1" applyAlignment="1">
      <alignment horizontal="center"/>
    </xf>
    <xf numFmtId="164" fontId="4" fillId="0" borderId="25" xfId="2" quotePrefix="1" applyNumberFormat="1" applyFont="1" applyFill="1" applyBorder="1" applyAlignment="1">
      <alignment horizontal="center"/>
    </xf>
    <xf numFmtId="0" fontId="2" fillId="0" borderId="29" xfId="2" applyFont="1" applyFill="1" applyBorder="1" applyAlignment="1">
      <alignment horizontal="center"/>
    </xf>
    <xf numFmtId="164" fontId="4" fillId="0" borderId="20" xfId="2" quotePrefix="1" applyNumberFormat="1" applyFont="1" applyFill="1" applyBorder="1" applyAlignment="1">
      <alignment horizontal="center" wrapText="1"/>
    </xf>
    <xf numFmtId="0" fontId="2" fillId="0" borderId="25" xfId="2" applyNumberFormat="1" applyFont="1" applyFill="1" applyBorder="1"/>
    <xf numFmtId="0" fontId="4" fillId="0" borderId="26" xfId="2" applyNumberFormat="1" applyFont="1" applyFill="1" applyBorder="1"/>
    <xf numFmtId="0" fontId="2" fillId="0" borderId="25" xfId="2" applyFont="1" applyFill="1" applyBorder="1"/>
    <xf numFmtId="0" fontId="2" fillId="0" borderId="27" xfId="2" applyFont="1" applyFill="1" applyBorder="1" applyAlignment="1">
      <alignment horizontal="center" vertical="top"/>
    </xf>
    <xf numFmtId="164" fontId="2" fillId="0" borderId="27" xfId="2" applyNumberFormat="1" applyFont="1" applyFill="1" applyBorder="1"/>
    <xf numFmtId="164" fontId="2" fillId="0" borderId="25" xfId="2" applyNumberFormat="1" applyFont="1" applyFill="1" applyBorder="1" applyAlignment="1">
      <alignment horizontal="center"/>
    </xf>
    <xf numFmtId="0" fontId="2" fillId="0" borderId="25" xfId="2" applyFont="1" applyFill="1" applyBorder="1" applyAlignment="1">
      <alignment horizontal="center"/>
    </xf>
    <xf numFmtId="164" fontId="2" fillId="0" borderId="25" xfId="2" applyNumberFormat="1" applyFont="1" applyFill="1" applyBorder="1" applyAlignment="1">
      <alignment horizontal="right"/>
    </xf>
    <xf numFmtId="164" fontId="2" fillId="0" borderId="25" xfId="2" applyNumberFormat="1" applyFont="1" applyFill="1" applyBorder="1" applyAlignment="1">
      <alignment horizontal="center" wrapText="1"/>
    </xf>
    <xf numFmtId="164" fontId="2" fillId="0" borderId="27" xfId="2" applyNumberFormat="1" applyFont="1" applyFill="1" applyBorder="1" applyAlignment="1">
      <alignment horizontal="right"/>
    </xf>
    <xf numFmtId="0" fontId="2" fillId="0" borderId="29" xfId="2" applyNumberFormat="1" applyFont="1" applyFill="1" applyBorder="1"/>
    <xf numFmtId="0" fontId="2" fillId="0" borderId="29" xfId="2" applyFont="1" applyFill="1" applyBorder="1"/>
    <xf numFmtId="0" fontId="2" fillId="0" borderId="29" xfId="2" applyFont="1" applyFill="1" applyBorder="1" applyAlignment="1">
      <alignment horizontal="center" vertical="top"/>
    </xf>
    <xf numFmtId="164" fontId="4" fillId="0" borderId="20" xfId="2" applyNumberFormat="1" applyFont="1" applyFill="1" applyBorder="1"/>
    <xf numFmtId="164" fontId="4" fillId="0" borderId="25" xfId="2" applyNumberFormat="1" applyFont="1" applyFill="1" applyBorder="1"/>
    <xf numFmtId="164" fontId="4" fillId="0" borderId="20" xfId="2" applyNumberFormat="1" applyFont="1" applyFill="1" applyBorder="1" applyAlignment="1">
      <alignment horizontal="center"/>
    </xf>
    <xf numFmtId="164" fontId="4" fillId="0" borderId="20" xfId="2" applyNumberFormat="1" applyFont="1" applyFill="1" applyBorder="1" applyAlignment="1">
      <alignment horizontal="right"/>
    </xf>
    <xf numFmtId="164" fontId="4" fillId="0" borderId="20" xfId="2" applyNumberFormat="1" applyFont="1" applyFill="1" applyBorder="1" applyAlignment="1">
      <alignment horizontal="center" wrapText="1"/>
    </xf>
    <xf numFmtId="164" fontId="2" fillId="0" borderId="25" xfId="2" applyNumberFormat="1" applyFont="1" applyFill="1" applyBorder="1" applyAlignment="1"/>
    <xf numFmtId="164" fontId="2" fillId="0" borderId="27" xfId="2" applyNumberFormat="1" applyFont="1" applyFill="1" applyBorder="1" applyAlignment="1"/>
    <xf numFmtId="164" fontId="2" fillId="0" borderId="27" xfId="2" applyNumberFormat="1" applyFont="1" applyFill="1" applyBorder="1" applyAlignment="1">
      <alignment horizontal="center"/>
    </xf>
    <xf numFmtId="164" fontId="2" fillId="0" borderId="27" xfId="2" applyNumberFormat="1" applyFont="1" applyFill="1" applyBorder="1" applyAlignment="1">
      <alignment horizontal="center" wrapText="1"/>
    </xf>
    <xf numFmtId="0" fontId="2" fillId="0" borderId="25" xfId="2" applyNumberFormat="1" applyFont="1" applyFill="1" applyBorder="1" applyAlignment="1">
      <alignment vertical="top" wrapText="1"/>
    </xf>
    <xf numFmtId="0" fontId="2" fillId="0" borderId="25" xfId="2" applyFont="1" applyFill="1" applyBorder="1" applyAlignment="1">
      <alignment vertical="top" wrapText="1"/>
    </xf>
    <xf numFmtId="0" fontId="2" fillId="0" borderId="27" xfId="2" applyFont="1" applyFill="1" applyBorder="1" applyAlignment="1">
      <alignment horizontal="center" vertical="top" wrapText="1"/>
    </xf>
    <xf numFmtId="164" fontId="2" fillId="0" borderId="27" xfId="2" applyNumberFormat="1" applyFont="1" applyFill="1" applyBorder="1" applyAlignment="1">
      <alignment vertical="top" wrapText="1"/>
    </xf>
    <xf numFmtId="164" fontId="2" fillId="0" borderId="25" xfId="2" applyNumberFormat="1" applyFont="1" applyFill="1" applyBorder="1" applyAlignment="1">
      <alignment vertical="top"/>
    </xf>
    <xf numFmtId="0" fontId="2" fillId="0" borderId="25" xfId="2" applyFont="1" applyFill="1" applyBorder="1" applyAlignment="1">
      <alignment horizontal="center" vertical="top" wrapText="1"/>
    </xf>
    <xf numFmtId="164" fontId="2" fillId="0" borderId="27" xfId="2" applyNumberFormat="1" applyFont="1" applyFill="1" applyBorder="1" applyAlignment="1">
      <alignment horizontal="right" vertical="top" wrapText="1"/>
    </xf>
    <xf numFmtId="164" fontId="2" fillId="0" borderId="27" xfId="2" applyNumberFormat="1" applyFont="1" applyFill="1" applyBorder="1" applyAlignment="1">
      <alignment horizontal="center" vertical="top" wrapText="1"/>
    </xf>
    <xf numFmtId="0" fontId="2" fillId="0" borderId="0" xfId="2" applyFont="1" applyFill="1" applyAlignment="1">
      <alignment vertical="top" wrapText="1"/>
    </xf>
    <xf numFmtId="0" fontId="2" fillId="0" borderId="29" xfId="2" quotePrefix="1" applyNumberFormat="1" applyFont="1" applyFill="1" applyBorder="1"/>
    <xf numFmtId="0" fontId="2" fillId="0" borderId="23" xfId="2" applyFont="1" applyFill="1" applyBorder="1"/>
    <xf numFmtId="0" fontId="2" fillId="0" borderId="30" xfId="2" applyFont="1" applyFill="1" applyBorder="1" applyAlignment="1">
      <alignment horizontal="center" vertical="top"/>
    </xf>
    <xf numFmtId="164" fontId="2" fillId="0" borderId="30" xfId="2" applyNumberFormat="1" applyFont="1" applyFill="1" applyBorder="1"/>
    <xf numFmtId="164" fontId="2" fillId="0" borderId="23" xfId="2" applyNumberFormat="1" applyFont="1" applyFill="1" applyBorder="1" applyAlignment="1"/>
    <xf numFmtId="164" fontId="2" fillId="0" borderId="23" xfId="2" applyNumberFormat="1" applyFont="1" applyFill="1" applyBorder="1" applyAlignment="1">
      <alignment horizontal="right"/>
    </xf>
    <xf numFmtId="164" fontId="2" fillId="0" borderId="23" xfId="2" applyNumberFormat="1" applyFont="1" applyFill="1" applyBorder="1" applyAlignment="1">
      <alignment horizontal="center"/>
    </xf>
    <xf numFmtId="164" fontId="2" fillId="0" borderId="23" xfId="2" applyNumberFormat="1" applyFont="1" applyFill="1" applyBorder="1" applyAlignment="1">
      <alignment horizontal="center" wrapText="1"/>
    </xf>
    <xf numFmtId="0" fontId="2" fillId="0" borderId="25" xfId="2" applyNumberFormat="1" applyFont="1" applyFill="1" applyBorder="1" applyAlignment="1">
      <alignment vertical="top"/>
    </xf>
    <xf numFmtId="164" fontId="2" fillId="0" borderId="27" xfId="2" applyNumberFormat="1" applyFont="1" applyFill="1" applyBorder="1" applyAlignment="1">
      <alignment vertical="top"/>
    </xf>
    <xf numFmtId="0" fontId="2" fillId="0" borderId="25" xfId="2" applyFont="1" applyFill="1" applyBorder="1" applyAlignment="1">
      <alignment horizontal="center" vertical="top"/>
    </xf>
    <xf numFmtId="164" fontId="2" fillId="0" borderId="27" xfId="2" applyNumberFormat="1" applyFont="1" applyFill="1" applyBorder="1" applyAlignment="1">
      <alignment horizontal="right" vertical="top"/>
    </xf>
    <xf numFmtId="164" fontId="2" fillId="0" borderId="27" xfId="2" applyNumberFormat="1" applyFont="1" applyFill="1" applyBorder="1" applyAlignment="1">
      <alignment horizontal="center" vertical="top"/>
    </xf>
    <xf numFmtId="0" fontId="2" fillId="0" borderId="0" xfId="2" applyFont="1" applyFill="1" applyAlignment="1">
      <alignment vertical="top"/>
    </xf>
    <xf numFmtId="164" fontId="2" fillId="0" borderId="25" xfId="2" applyNumberFormat="1" applyFont="1" applyFill="1" applyBorder="1" applyAlignment="1">
      <alignment vertical="top" wrapText="1"/>
    </xf>
    <xf numFmtId="0" fontId="2" fillId="0" borderId="25" xfId="2" applyFont="1" applyFill="1" applyBorder="1" applyAlignment="1">
      <alignment vertical="top"/>
    </xf>
    <xf numFmtId="164" fontId="2" fillId="0" borderId="25" xfId="2" applyNumberFormat="1" applyFont="1" applyFill="1" applyBorder="1" applyAlignment="1">
      <alignment horizontal="center" vertical="top"/>
    </xf>
    <xf numFmtId="164" fontId="2" fillId="0" borderId="25" xfId="2" applyNumberFormat="1" applyFont="1" applyFill="1" applyBorder="1" applyAlignment="1">
      <alignment horizontal="right" vertical="top"/>
    </xf>
    <xf numFmtId="164" fontId="2" fillId="0" borderId="25" xfId="2" applyNumberFormat="1" applyFont="1" applyFill="1" applyBorder="1" applyAlignment="1">
      <alignment horizontal="center" vertical="top" wrapText="1"/>
    </xf>
    <xf numFmtId="164" fontId="4" fillId="0" borderId="20" xfId="2" applyNumberFormat="1" applyFont="1" applyFill="1" applyBorder="1" applyAlignment="1"/>
    <xf numFmtId="164" fontId="4" fillId="0" borderId="25" xfId="2" applyNumberFormat="1" applyFont="1" applyFill="1" applyBorder="1" applyAlignment="1"/>
    <xf numFmtId="3" fontId="4" fillId="0" borderId="20" xfId="2" applyNumberFormat="1" applyFont="1" applyFill="1" applyBorder="1" applyAlignment="1">
      <alignment horizontal="center"/>
    </xf>
    <xf numFmtId="3" fontId="2" fillId="0" borderId="23" xfId="2" applyNumberFormat="1" applyFont="1" applyFill="1" applyBorder="1"/>
    <xf numFmtId="3" fontId="2" fillId="0" borderId="23" xfId="2" applyNumberFormat="1" applyFont="1" applyFill="1" applyBorder="1" applyAlignment="1">
      <alignment horizontal="center" vertical="top"/>
    </xf>
    <xf numFmtId="164" fontId="2" fillId="0" borderId="31" xfId="2" applyNumberFormat="1" applyFont="1" applyFill="1" applyBorder="1"/>
    <xf numFmtId="164" fontId="2" fillId="0" borderId="23" xfId="2" applyNumberFormat="1" applyFont="1" applyFill="1" applyBorder="1"/>
    <xf numFmtId="3" fontId="2" fillId="0" borderId="25" xfId="2" applyNumberFormat="1" applyFont="1" applyFill="1" applyBorder="1" applyAlignment="1">
      <alignment horizontal="center" vertical="top" wrapText="1"/>
    </xf>
    <xf numFmtId="164" fontId="2" fillId="0" borderId="0" xfId="2" applyNumberFormat="1" applyFont="1" applyFill="1" applyBorder="1" applyAlignment="1">
      <alignment vertical="top" wrapText="1"/>
    </xf>
    <xf numFmtId="164" fontId="2" fillId="0" borderId="25" xfId="2" applyNumberFormat="1" applyFont="1" applyFill="1" applyBorder="1" applyAlignment="1">
      <alignment horizontal="right" vertical="top" wrapText="1"/>
    </xf>
    <xf numFmtId="164" fontId="4" fillId="0" borderId="22" xfId="2" applyNumberFormat="1" applyFont="1" applyFill="1" applyBorder="1" applyAlignment="1"/>
    <xf numFmtId="164" fontId="4" fillId="0" borderId="14" xfId="2" applyNumberFormat="1" applyFont="1" applyFill="1" applyBorder="1" applyAlignment="1"/>
    <xf numFmtId="0" fontId="2" fillId="0" borderId="23" xfId="2" applyFont="1" applyFill="1" applyBorder="1" applyAlignment="1">
      <alignment horizontal="center" vertical="top"/>
    </xf>
    <xf numFmtId="164" fontId="4" fillId="0" borderId="22" xfId="2" applyNumberFormat="1" applyFont="1" applyFill="1" applyBorder="1"/>
    <xf numFmtId="164" fontId="4" fillId="0" borderId="14" xfId="2" applyNumberFormat="1" applyFont="1" applyFill="1" applyBorder="1"/>
    <xf numFmtId="0" fontId="4" fillId="0" borderId="0" xfId="2" applyFont="1" applyFill="1"/>
    <xf numFmtId="0" fontId="4" fillId="0" borderId="20" xfId="2" applyNumberFormat="1" applyFont="1" applyFill="1" applyBorder="1"/>
    <xf numFmtId="0" fontId="2" fillId="0" borderId="20" xfId="2" applyFont="1" applyFill="1" applyBorder="1"/>
    <xf numFmtId="0" fontId="2" fillId="0" borderId="20" xfId="2" applyFont="1" applyFill="1" applyBorder="1" applyAlignment="1">
      <alignment horizontal="center"/>
    </xf>
    <xf numFmtId="164" fontId="2" fillId="0" borderId="0" xfId="2" applyNumberFormat="1" applyFont="1" applyFill="1" applyAlignment="1">
      <alignment horizontal="right"/>
    </xf>
    <xf numFmtId="0" fontId="3" fillId="0" borderId="0" xfId="2" applyFont="1" applyFill="1"/>
    <xf numFmtId="164" fontId="2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 wrapText="1"/>
    </xf>
    <xf numFmtId="0" fontId="2" fillId="0" borderId="35" xfId="2" applyFont="1" applyFill="1" applyBorder="1" applyAlignment="1">
      <alignment vertical="top" wrapText="1"/>
    </xf>
    <xf numFmtId="0" fontId="2" fillId="0" borderId="36" xfId="2" applyFont="1" applyFill="1" applyBorder="1" applyAlignment="1">
      <alignment horizontal="center" vertical="top" wrapText="1"/>
    </xf>
    <xf numFmtId="164" fontId="2" fillId="0" borderId="36" xfId="2" applyNumberFormat="1" applyFont="1" applyFill="1" applyBorder="1" applyAlignment="1">
      <alignment vertical="top" wrapText="1"/>
    </xf>
    <xf numFmtId="164" fontId="2" fillId="0" borderId="35" xfId="2" applyNumberFormat="1" applyFont="1" applyFill="1" applyBorder="1" applyAlignment="1">
      <alignment vertical="top"/>
    </xf>
    <xf numFmtId="0" fontId="2" fillId="0" borderId="34" xfId="2" applyFont="1" applyFill="1" applyBorder="1" applyAlignment="1">
      <alignment vertical="top" wrapText="1"/>
    </xf>
    <xf numFmtId="0" fontId="2" fillId="0" borderId="37" xfId="2" applyFont="1" applyFill="1" applyBorder="1" applyAlignment="1">
      <alignment horizontal="center" vertical="top" wrapText="1"/>
    </xf>
    <xf numFmtId="164" fontId="2" fillId="0" borderId="37" xfId="2" applyNumberFormat="1" applyFont="1" applyFill="1" applyBorder="1" applyAlignment="1">
      <alignment vertical="top" wrapText="1"/>
    </xf>
    <xf numFmtId="164" fontId="2" fillId="0" borderId="34" xfId="2" applyNumberFormat="1" applyFont="1" applyFill="1" applyBorder="1" applyAlignment="1">
      <alignment vertical="top"/>
    </xf>
    <xf numFmtId="164" fontId="2" fillId="0" borderId="35" xfId="2" applyNumberFormat="1" applyFont="1" applyFill="1" applyBorder="1" applyAlignment="1">
      <alignment horizontal="right" vertical="top" wrapText="1"/>
    </xf>
    <xf numFmtId="164" fontId="2" fillId="0" borderId="34" xfId="2" applyNumberFormat="1" applyFont="1" applyFill="1" applyBorder="1" applyAlignment="1">
      <alignment horizontal="right" vertical="top" wrapText="1"/>
    </xf>
    <xf numFmtId="164" fontId="2" fillId="0" borderId="36" xfId="2" applyNumberFormat="1" applyFont="1" applyFill="1" applyBorder="1" applyAlignment="1">
      <alignment vertical="top"/>
    </xf>
    <xf numFmtId="164" fontId="2" fillId="0" borderId="35" xfId="2" applyNumberFormat="1" applyFont="1" applyFill="1" applyBorder="1" applyAlignment="1">
      <alignment horizontal="right" vertical="top"/>
    </xf>
    <xf numFmtId="164" fontId="2" fillId="0" borderId="34" xfId="2" applyNumberFormat="1" applyFont="1" applyFill="1" applyBorder="1" applyAlignment="1">
      <alignment vertical="top" wrapText="1"/>
    </xf>
    <xf numFmtId="0" fontId="2" fillId="0" borderId="34" xfId="2" applyFont="1" applyFill="1" applyBorder="1" applyAlignment="1">
      <alignment vertical="top"/>
    </xf>
    <xf numFmtId="164" fontId="2" fillId="0" borderId="37" xfId="2" applyNumberFormat="1" applyFont="1" applyFill="1" applyBorder="1" applyAlignment="1">
      <alignment vertical="top"/>
    </xf>
    <xf numFmtId="164" fontId="2" fillId="0" borderId="34" xfId="2" applyNumberFormat="1" applyFont="1" applyFill="1" applyBorder="1" applyAlignment="1">
      <alignment horizontal="right" vertical="top"/>
    </xf>
    <xf numFmtId="164" fontId="2" fillId="0" borderId="35" xfId="2" applyNumberFormat="1" applyFont="1" applyFill="1" applyBorder="1" applyAlignment="1">
      <alignment vertical="top" wrapText="1"/>
    </xf>
    <xf numFmtId="0" fontId="2" fillId="0" borderId="37" xfId="2" applyFont="1" applyFill="1" applyBorder="1" applyAlignment="1">
      <alignment horizontal="center" vertical="top"/>
    </xf>
    <xf numFmtId="0" fontId="2" fillId="0" borderId="34" xfId="2" applyFont="1" applyFill="1" applyBorder="1"/>
    <xf numFmtId="0" fontId="2" fillId="0" borderId="34" xfId="2" applyFont="1" applyFill="1" applyBorder="1" applyAlignment="1">
      <alignment wrapText="1"/>
    </xf>
    <xf numFmtId="164" fontId="2" fillId="0" borderId="37" xfId="2" applyNumberFormat="1" applyFont="1" applyFill="1" applyBorder="1"/>
    <xf numFmtId="164" fontId="2" fillId="0" borderId="34" xfId="2" applyNumberFormat="1" applyFont="1" applyFill="1" applyBorder="1" applyAlignment="1"/>
    <xf numFmtId="0" fontId="2" fillId="0" borderId="35" xfId="2" applyFont="1" applyFill="1" applyBorder="1" applyAlignment="1">
      <alignment vertical="top"/>
    </xf>
    <xf numFmtId="0" fontId="2" fillId="0" borderId="36" xfId="2" applyFont="1" applyFill="1" applyBorder="1" applyAlignment="1">
      <alignment horizontal="center" vertical="top"/>
    </xf>
    <xf numFmtId="3" fontId="2" fillId="0" borderId="35" xfId="2" applyNumberFormat="1" applyFont="1" applyFill="1" applyBorder="1" applyAlignment="1">
      <alignment vertical="top"/>
    </xf>
    <xf numFmtId="3" fontId="2" fillId="0" borderId="35" xfId="2" applyNumberFormat="1" applyFont="1" applyFill="1" applyBorder="1" applyAlignment="1">
      <alignment horizontal="center" vertical="top"/>
    </xf>
    <xf numFmtId="164" fontId="2" fillId="0" borderId="1" xfId="2" applyNumberFormat="1" applyFont="1" applyFill="1" applyBorder="1" applyAlignment="1">
      <alignment vertical="top"/>
    </xf>
    <xf numFmtId="3" fontId="2" fillId="0" borderId="34" xfId="2" applyNumberFormat="1" applyFont="1" applyFill="1" applyBorder="1" applyAlignment="1">
      <alignment vertical="top" wrapText="1"/>
    </xf>
    <xf numFmtId="0" fontId="2" fillId="0" borderId="35" xfId="2" applyFont="1" applyFill="1" applyBorder="1" applyAlignment="1">
      <alignment horizontal="center" vertical="top" wrapText="1"/>
    </xf>
    <xf numFmtId="164" fontId="2" fillId="0" borderId="1" xfId="2" applyNumberFormat="1" applyFont="1" applyFill="1" applyBorder="1" applyAlignment="1">
      <alignment vertical="top" wrapText="1"/>
    </xf>
    <xf numFmtId="164" fontId="2" fillId="0" borderId="27" xfId="0" applyNumberFormat="1" applyFont="1" applyFill="1" applyBorder="1" applyAlignment="1">
      <alignment horizontal="center" vertical="top" wrapText="1"/>
    </xf>
    <xf numFmtId="164" fontId="2" fillId="3" borderId="12" xfId="0" applyNumberFormat="1" applyFont="1" applyFill="1" applyBorder="1"/>
    <xf numFmtId="164" fontId="2" fillId="3" borderId="12" xfId="0" applyNumberFormat="1" applyFont="1" applyFill="1" applyBorder="1" applyAlignment="1">
      <alignment horizontal="right"/>
    </xf>
    <xf numFmtId="0" fontId="2" fillId="0" borderId="34" xfId="2" applyFont="1" applyFill="1" applyBorder="1" applyAlignment="1">
      <alignment horizontal="center" vertical="top" wrapText="1"/>
    </xf>
    <xf numFmtId="164" fontId="2" fillId="0" borderId="39" xfId="2" applyNumberFormat="1" applyFont="1" applyFill="1" applyBorder="1" applyAlignment="1">
      <alignment horizontal="right" vertical="top" wrapText="1"/>
    </xf>
    <xf numFmtId="164" fontId="2" fillId="0" borderId="35" xfId="2" applyNumberFormat="1" applyFont="1" applyFill="1" applyBorder="1" applyAlignment="1">
      <alignment horizontal="right"/>
    </xf>
    <xf numFmtId="164" fontId="2" fillId="0" borderId="37" xfId="2" applyNumberFormat="1" applyFont="1" applyFill="1" applyBorder="1" applyAlignment="1">
      <alignment horizontal="center" vertical="top"/>
    </xf>
    <xf numFmtId="164" fontId="2" fillId="0" borderId="37" xfId="2" applyNumberFormat="1" applyFont="1" applyFill="1" applyBorder="1" applyAlignment="1">
      <alignment horizontal="center" vertical="top" wrapText="1"/>
    </xf>
    <xf numFmtId="0" fontId="2" fillId="0" borderId="23" xfId="2" applyNumberFormat="1" applyFont="1" applyFill="1" applyBorder="1"/>
    <xf numFmtId="0" fontId="2" fillId="0" borderId="35" xfId="2" applyNumberFormat="1" applyFont="1" applyFill="1" applyBorder="1" applyAlignment="1">
      <alignment vertical="top"/>
    </xf>
    <xf numFmtId="0" fontId="2" fillId="0" borderId="34" xfId="2" applyNumberFormat="1" applyFont="1" applyFill="1" applyBorder="1" applyAlignment="1">
      <alignment vertical="top" wrapText="1"/>
    </xf>
    <xf numFmtId="0" fontId="2" fillId="0" borderId="34" xfId="2" applyNumberFormat="1" applyFont="1" applyFill="1" applyBorder="1" applyAlignment="1">
      <alignment vertical="top"/>
    </xf>
    <xf numFmtId="0" fontId="2" fillId="0" borderId="35" xfId="2" applyNumberFormat="1" applyFont="1" applyFill="1" applyBorder="1" applyAlignment="1">
      <alignment vertical="top" wrapText="1"/>
    </xf>
    <xf numFmtId="0" fontId="2" fillId="0" borderId="34" xfId="2" applyNumberFormat="1" applyFont="1" applyFill="1" applyBorder="1"/>
    <xf numFmtId="0" fontId="2" fillId="3" borderId="34" xfId="2" applyNumberFormat="1" applyFont="1" applyFill="1" applyBorder="1" applyAlignment="1">
      <alignment horizontal="left" vertical="top"/>
    </xf>
    <xf numFmtId="164" fontId="2" fillId="0" borderId="35" xfId="2" applyNumberFormat="1" applyFont="1" applyFill="1" applyBorder="1" applyAlignment="1">
      <alignment horizontal="center" vertical="top"/>
    </xf>
    <xf numFmtId="0" fontId="2" fillId="0" borderId="0" xfId="3" applyFont="1"/>
    <xf numFmtId="0" fontId="2" fillId="0" borderId="0" xfId="3" applyFont="1" applyFill="1"/>
    <xf numFmtId="0" fontId="2" fillId="0" borderId="24" xfId="3" applyFont="1" applyBorder="1"/>
    <xf numFmtId="0" fontId="2" fillId="0" borderId="31" xfId="3" applyFont="1" applyBorder="1"/>
    <xf numFmtId="0" fontId="2" fillId="0" borderId="31" xfId="3" applyFont="1" applyFill="1" applyBorder="1"/>
    <xf numFmtId="0" fontId="2" fillId="0" borderId="30" xfId="3" applyFont="1" applyBorder="1"/>
    <xf numFmtId="0" fontId="2" fillId="0" borderId="0" xfId="3" applyFont="1" applyBorder="1"/>
    <xf numFmtId="0" fontId="3" fillId="2" borderId="26" xfId="3" applyFont="1" applyFill="1" applyBorder="1"/>
    <xf numFmtId="0" fontId="2" fillId="0" borderId="0" xfId="3" applyFont="1" applyFill="1" applyBorder="1"/>
    <xf numFmtId="0" fontId="2" fillId="0" borderId="27" xfId="3" applyFont="1" applyBorder="1"/>
    <xf numFmtId="0" fontId="2" fillId="0" borderId="26" xfId="3" applyFont="1" applyBorder="1"/>
    <xf numFmtId="0" fontId="4" fillId="0" borderId="26" xfId="3" applyFont="1" applyBorder="1"/>
    <xf numFmtId="3" fontId="4" fillId="0" borderId="0" xfId="3" applyNumberFormat="1" applyFont="1" applyBorder="1"/>
    <xf numFmtId="3" fontId="2" fillId="0" borderId="0" xfId="3" applyNumberFormat="1" applyFont="1" applyBorder="1"/>
    <xf numFmtId="0" fontId="2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/>
    </xf>
    <xf numFmtId="9" fontId="4" fillId="0" borderId="0" xfId="3" applyNumberFormat="1" applyFont="1" applyBorder="1"/>
    <xf numFmtId="3" fontId="2" fillId="0" borderId="0" xfId="3" applyNumberFormat="1" applyFont="1" applyFill="1" applyBorder="1"/>
    <xf numFmtId="165" fontId="4" fillId="0" borderId="0" xfId="3" applyNumberFormat="1" applyFont="1" applyBorder="1"/>
    <xf numFmtId="10" fontId="4" fillId="0" borderId="0" xfId="3" applyNumberFormat="1" applyFont="1" applyBorder="1"/>
    <xf numFmtId="0" fontId="10" fillId="0" borderId="26" xfId="3" applyFont="1" applyBorder="1" applyAlignment="1">
      <alignment wrapText="1"/>
    </xf>
    <xf numFmtId="0" fontId="2" fillId="0" borderId="28" xfId="3" applyFont="1" applyBorder="1"/>
    <xf numFmtId="0" fontId="2" fillId="0" borderId="33" xfId="3" applyFont="1" applyBorder="1" applyAlignment="1">
      <alignment horizontal="center"/>
    </xf>
    <xf numFmtId="0" fontId="2" fillId="0" borderId="33" xfId="3" applyFont="1" applyBorder="1"/>
    <xf numFmtId="0" fontId="2" fillId="0" borderId="33" xfId="3" applyFont="1" applyFill="1" applyBorder="1"/>
    <xf numFmtId="0" fontId="2" fillId="0" borderId="38" xfId="3" applyFont="1" applyBorder="1"/>
    <xf numFmtId="0" fontId="2" fillId="0" borderId="9" xfId="3" applyFont="1" applyBorder="1"/>
    <xf numFmtId="0" fontId="2" fillId="0" borderId="3" xfId="3" applyFont="1" applyBorder="1"/>
    <xf numFmtId="0" fontId="2" fillId="0" borderId="8" xfId="3" applyFont="1" applyBorder="1"/>
    <xf numFmtId="0" fontId="4" fillId="2" borderId="0" xfId="3" applyFont="1" applyFill="1" applyAlignment="1">
      <alignment wrapText="1"/>
    </xf>
    <xf numFmtId="0" fontId="4" fillId="0" borderId="0" xfId="3" applyFont="1" applyBorder="1" applyAlignment="1">
      <alignment wrapText="1"/>
    </xf>
    <xf numFmtId="0" fontId="3" fillId="0" borderId="0" xfId="3" applyFont="1" applyBorder="1" applyAlignment="1">
      <alignment horizontal="center" wrapText="1"/>
    </xf>
    <xf numFmtId="0" fontId="3" fillId="0" borderId="0" xfId="3" applyFont="1" applyFill="1" applyBorder="1" applyAlignment="1">
      <alignment horizontal="center" wrapText="1"/>
    </xf>
    <xf numFmtId="0" fontId="3" fillId="0" borderId="1" xfId="3" applyFont="1" applyBorder="1" applyAlignment="1">
      <alignment wrapText="1"/>
    </xf>
    <xf numFmtId="0" fontId="4" fillId="0" borderId="0" xfId="3" applyFont="1" applyBorder="1"/>
    <xf numFmtId="0" fontId="4" fillId="0" borderId="9" xfId="3" applyFont="1" applyBorder="1"/>
    <xf numFmtId="0" fontId="2" fillId="3" borderId="9" xfId="3" applyFont="1" applyFill="1" applyBorder="1"/>
    <xf numFmtId="0" fontId="4" fillId="3" borderId="9" xfId="3" applyFont="1" applyFill="1" applyBorder="1" applyAlignment="1">
      <alignment horizontal="right"/>
    </xf>
    <xf numFmtId="3" fontId="2" fillId="0" borderId="21" xfId="3" applyNumberFormat="1" applyFont="1" applyBorder="1"/>
    <xf numFmtId="0" fontId="2" fillId="3" borderId="0" xfId="3" applyFont="1" applyFill="1" applyBorder="1"/>
    <xf numFmtId="3" fontId="2" fillId="0" borderId="0" xfId="3" applyNumberFormat="1" applyFont="1" applyFill="1"/>
    <xf numFmtId="0" fontId="2" fillId="4" borderId="0" xfId="3" applyFont="1" applyFill="1" applyBorder="1"/>
    <xf numFmtId="0" fontId="2" fillId="5" borderId="0" xfId="3" applyFont="1" applyFill="1" applyBorder="1"/>
    <xf numFmtId="0" fontId="2" fillId="0" borderId="0" xfId="3" applyFont="1" applyBorder="1" applyAlignment="1">
      <alignment horizontal="left"/>
    </xf>
    <xf numFmtId="0" fontId="4" fillId="6" borderId="0" xfId="3" applyFont="1" applyFill="1" applyBorder="1" applyAlignment="1">
      <alignment wrapText="1"/>
    </xf>
    <xf numFmtId="0" fontId="2" fillId="6" borderId="0" xfId="3" applyFont="1" applyFill="1" applyBorder="1"/>
    <xf numFmtId="0" fontId="4" fillId="6" borderId="0" xfId="3" applyFont="1" applyFill="1" applyBorder="1" applyAlignment="1">
      <alignment horizontal="right"/>
    </xf>
    <xf numFmtId="3" fontId="2" fillId="0" borderId="8" xfId="3" applyNumberFormat="1" applyFont="1" applyBorder="1"/>
    <xf numFmtId="0" fontId="4" fillId="7" borderId="0" xfId="3" applyFont="1" applyFill="1" applyBorder="1" applyAlignment="1">
      <alignment horizontal="right"/>
    </xf>
    <xf numFmtId="3" fontId="2" fillId="0" borderId="32" xfId="3" applyNumberFormat="1" applyFont="1" applyBorder="1"/>
    <xf numFmtId="0" fontId="4" fillId="4" borderId="0" xfId="3" applyFont="1" applyFill="1" applyBorder="1" applyAlignment="1">
      <alignment horizontal="right"/>
    </xf>
    <xf numFmtId="0" fontId="4" fillId="2" borderId="0" xfId="3" applyFont="1" applyFill="1" applyAlignment="1">
      <alignment horizontal="left" wrapText="1"/>
    </xf>
    <xf numFmtId="3" fontId="12" fillId="0" borderId="0" xfId="3" applyNumberFormat="1" applyFont="1" applyBorder="1"/>
    <xf numFmtId="3" fontId="12" fillId="0" borderId="0" xfId="3" applyNumberFormat="1" applyFont="1" applyFill="1" applyBorder="1"/>
    <xf numFmtId="0" fontId="12" fillId="0" borderId="0" xfId="3" applyFont="1" applyBorder="1"/>
    <xf numFmtId="0" fontId="12" fillId="0" borderId="0" xfId="3" applyFont="1" applyFill="1" applyBorder="1"/>
    <xf numFmtId="0" fontId="2" fillId="6" borderId="9" xfId="3" applyFont="1" applyFill="1" applyBorder="1"/>
    <xf numFmtId="0" fontId="12" fillId="0" borderId="0" xfId="3" applyFont="1"/>
    <xf numFmtId="0" fontId="12" fillId="0" borderId="0" xfId="3" applyFont="1" applyFill="1"/>
    <xf numFmtId="0" fontId="2" fillId="6" borderId="0" xfId="3" applyFont="1" applyFill="1"/>
    <xf numFmtId="3" fontId="12" fillId="0" borderId="21" xfId="3" applyNumberFormat="1" applyFont="1" applyBorder="1"/>
    <xf numFmtId="0" fontId="4" fillId="2" borderId="0" xfId="3" applyFont="1" applyFill="1" applyAlignment="1">
      <alignment horizontal="left"/>
    </xf>
    <xf numFmtId="0" fontId="4" fillId="3" borderId="0" xfId="3" applyFont="1" applyFill="1" applyBorder="1" applyAlignment="1">
      <alignment horizontal="right"/>
    </xf>
    <xf numFmtId="0" fontId="4" fillId="2" borderId="0" xfId="3" applyFont="1" applyFill="1" applyBorder="1"/>
    <xf numFmtId="0" fontId="4" fillId="0" borderId="0" xfId="3" applyFont="1" applyBorder="1" applyAlignment="1">
      <alignment horizontal="right"/>
    </xf>
    <xf numFmtId="0" fontId="2" fillId="0" borderId="0" xfId="3" applyFont="1" applyBorder="1" applyAlignment="1">
      <alignment horizontal="center"/>
    </xf>
    <xf numFmtId="0" fontId="4" fillId="6" borderId="0" xfId="3" applyFont="1" applyFill="1" applyBorder="1"/>
    <xf numFmtId="0" fontId="4" fillId="3" borderId="0" xfId="3" applyFont="1" applyFill="1" applyBorder="1"/>
    <xf numFmtId="0" fontId="2" fillId="0" borderId="0" xfId="3" applyFont="1" applyAlignment="1">
      <alignment horizontal="center"/>
    </xf>
    <xf numFmtId="0" fontId="2" fillId="0" borderId="40" xfId="3" applyFont="1" applyBorder="1"/>
    <xf numFmtId="0" fontId="4" fillId="2" borderId="0" xfId="3" applyFont="1" applyFill="1"/>
    <xf numFmtId="0" fontId="0" fillId="0" borderId="0" xfId="0" applyFill="1" applyAlignment="1"/>
    <xf numFmtId="0" fontId="2" fillId="0" borderId="0" xfId="0" applyFont="1" applyFill="1" applyBorder="1" applyAlignment="1"/>
    <xf numFmtId="164" fontId="2" fillId="0" borderId="0" xfId="0" applyNumberFormat="1" applyFont="1" applyFill="1" applyAlignment="1"/>
    <xf numFmtId="164" fontId="2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164" fontId="9" fillId="0" borderId="0" xfId="0" applyNumberFormat="1" applyFont="1" applyFill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/>
    <xf numFmtId="164" fontId="2" fillId="0" borderId="5" xfId="0" applyNumberFormat="1" applyFont="1" applyFill="1" applyBorder="1"/>
    <xf numFmtId="164" fontId="2" fillId="0" borderId="7" xfId="0" applyNumberFormat="1" applyFont="1" applyFill="1" applyBorder="1"/>
    <xf numFmtId="164" fontId="2" fillId="0" borderId="17" xfId="0" applyNumberFormat="1" applyFont="1" applyFill="1" applyBorder="1"/>
    <xf numFmtId="164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Border="1" applyAlignment="1">
      <alignment horizontal="right"/>
    </xf>
    <xf numFmtId="0" fontId="0" fillId="0" borderId="0" xfId="0" applyBorder="1"/>
    <xf numFmtId="0" fontId="2" fillId="0" borderId="0" xfId="0" applyFont="1" applyBorder="1"/>
    <xf numFmtId="164" fontId="2" fillId="0" borderId="21" xfId="0" applyNumberFormat="1" applyFont="1" applyFill="1" applyBorder="1"/>
    <xf numFmtId="0" fontId="2" fillId="0" borderId="12" xfId="0" applyFont="1" applyFill="1" applyBorder="1"/>
    <xf numFmtId="164" fontId="2" fillId="0" borderId="11" xfId="0" applyNumberFormat="1" applyFont="1" applyFill="1" applyBorder="1" applyAlignment="1">
      <alignment horizontal="right"/>
    </xf>
    <xf numFmtId="0" fontId="2" fillId="0" borderId="12" xfId="0" quotePrefix="1" applyFont="1" applyFill="1" applyBorder="1" applyAlignment="1">
      <alignment horizontal="right"/>
    </xf>
    <xf numFmtId="164" fontId="2" fillId="0" borderId="12" xfId="0" quotePrefix="1" applyNumberFormat="1" applyFont="1" applyFill="1" applyBorder="1" applyAlignment="1">
      <alignment horizontal="right" wrapText="1"/>
    </xf>
    <xf numFmtId="164" fontId="2" fillId="0" borderId="12" xfId="0" applyNumberFormat="1" applyFont="1" applyFill="1" applyBorder="1" applyAlignment="1">
      <alignment horizontal="right" wrapText="1"/>
    </xf>
    <xf numFmtId="164" fontId="4" fillId="0" borderId="16" xfId="0" applyNumberFormat="1" applyFont="1" applyFill="1" applyBorder="1"/>
    <xf numFmtId="164" fontId="13" fillId="8" borderId="16" xfId="0" applyNumberFormat="1" applyFont="1" applyFill="1" applyBorder="1" applyAlignment="1">
      <alignment horizontal="left"/>
    </xf>
    <xf numFmtId="164" fontId="13" fillId="8" borderId="16" xfId="0" applyNumberFormat="1" applyFont="1" applyFill="1" applyBorder="1"/>
    <xf numFmtId="164" fontId="4" fillId="0" borderId="7" xfId="0" applyNumberFormat="1" applyFont="1" applyFill="1" applyBorder="1"/>
    <xf numFmtId="164" fontId="4" fillId="0" borderId="15" xfId="0" applyNumberFormat="1" applyFont="1" applyFill="1" applyBorder="1"/>
    <xf numFmtId="164" fontId="2" fillId="0" borderId="7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 vertical="top"/>
    </xf>
    <xf numFmtId="164" fontId="2" fillId="0" borderId="16" xfId="0" applyNumberFormat="1" applyFont="1" applyFill="1" applyBorder="1" applyAlignment="1">
      <alignment horizontal="center"/>
    </xf>
    <xf numFmtId="164" fontId="3" fillId="0" borderId="11" xfId="0" applyNumberFormat="1" applyFont="1" applyFill="1" applyBorder="1"/>
    <xf numFmtId="164" fontId="2" fillId="0" borderId="11" xfId="0" applyNumberFormat="1" applyFont="1" applyFill="1" applyBorder="1" applyAlignment="1">
      <alignment horizontal="center"/>
    </xf>
    <xf numFmtId="164" fontId="13" fillId="8" borderId="4" xfId="0" applyNumberFormat="1" applyFont="1" applyFill="1" applyBorder="1"/>
    <xf numFmtId="164" fontId="14" fillId="8" borderId="3" xfId="0" applyNumberFormat="1" applyFont="1" applyFill="1" applyBorder="1" applyAlignment="1">
      <alignment horizontal="center"/>
    </xf>
    <xf numFmtId="164" fontId="13" fillId="8" borderId="10" xfId="0" applyNumberFormat="1" applyFont="1" applyFill="1" applyBorder="1" applyAlignment="1">
      <alignment horizontal="center"/>
    </xf>
    <xf numFmtId="164" fontId="13" fillId="8" borderId="3" xfId="0" applyNumberFormat="1" applyFont="1" applyFill="1" applyBorder="1" applyAlignment="1">
      <alignment horizontal="center"/>
    </xf>
    <xf numFmtId="164" fontId="13" fillId="8" borderId="5" xfId="0" applyNumberFormat="1" applyFont="1" applyFill="1" applyBorder="1" applyAlignment="1">
      <alignment horizontal="center"/>
    </xf>
    <xf numFmtId="164" fontId="15" fillId="8" borderId="9" xfId="0" applyNumberFormat="1" applyFont="1" applyFill="1" applyBorder="1"/>
    <xf numFmtId="164" fontId="14" fillId="8" borderId="0" xfId="0" applyNumberFormat="1" applyFont="1" applyFill="1" applyBorder="1" applyAlignment="1">
      <alignment horizontal="center"/>
    </xf>
    <xf numFmtId="164" fontId="13" fillId="8" borderId="12" xfId="0" applyNumberFormat="1" applyFont="1" applyFill="1" applyBorder="1" applyAlignment="1">
      <alignment horizontal="center"/>
    </xf>
    <xf numFmtId="164" fontId="13" fillId="8" borderId="0" xfId="0" applyNumberFormat="1" applyFont="1" applyFill="1" applyBorder="1" applyAlignment="1">
      <alignment horizontal="center"/>
    </xf>
    <xf numFmtId="164" fontId="13" fillId="8" borderId="8" xfId="0" applyNumberFormat="1" applyFont="1" applyFill="1" applyBorder="1" applyAlignment="1">
      <alignment horizontal="center"/>
    </xf>
    <xf numFmtId="164" fontId="13" fillId="8" borderId="1" xfId="0" applyNumberFormat="1" applyFont="1" applyFill="1" applyBorder="1" applyAlignment="1">
      <alignment vertical="top"/>
    </xf>
    <xf numFmtId="164" fontId="13" fillId="8" borderId="11" xfId="0" applyNumberFormat="1" applyFont="1" applyFill="1" applyBorder="1" applyAlignment="1">
      <alignment horizontal="center"/>
    </xf>
    <xf numFmtId="164" fontId="13" fillId="8" borderId="1" xfId="0" applyNumberFormat="1" applyFont="1" applyFill="1" applyBorder="1" applyAlignment="1">
      <alignment horizontal="center"/>
    </xf>
    <xf numFmtId="164" fontId="13" fillId="8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/>
    <xf numFmtId="164" fontId="2" fillId="3" borderId="8" xfId="0" applyNumberFormat="1" applyFont="1" applyFill="1" applyBorder="1"/>
    <xf numFmtId="164" fontId="8" fillId="0" borderId="16" xfId="0" applyNumberFormat="1" applyFont="1" applyFill="1" applyBorder="1"/>
    <xf numFmtId="164" fontId="2" fillId="3" borderId="16" xfId="0" applyNumberFormat="1" applyFont="1" applyFill="1" applyBorder="1"/>
    <xf numFmtId="164" fontId="2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/>
    <xf numFmtId="164" fontId="4" fillId="0" borderId="6" xfId="0" applyNumberFormat="1" applyFont="1" applyFill="1" applyBorder="1"/>
    <xf numFmtId="164" fontId="2" fillId="0" borderId="4" xfId="0" applyNumberFormat="1" applyFont="1" applyFill="1" applyBorder="1"/>
    <xf numFmtId="164" fontId="2" fillId="0" borderId="15" xfId="0" applyNumberFormat="1" applyFont="1" applyFill="1" applyBorder="1"/>
    <xf numFmtId="164" fontId="2" fillId="0" borderId="17" xfId="0" applyNumberFormat="1" applyFont="1" applyFill="1" applyBorder="1" applyAlignment="1">
      <alignment horizontal="center"/>
    </xf>
    <xf numFmtId="164" fontId="4" fillId="0" borderId="41" xfId="0" applyNumberFormat="1" applyFont="1" applyFill="1" applyBorder="1" applyAlignment="1">
      <alignment horizontal="center"/>
    </xf>
    <xf numFmtId="164" fontId="13" fillId="8" borderId="4" xfId="0" applyNumberFormat="1" applyFont="1" applyFill="1" applyBorder="1" applyAlignment="1">
      <alignment horizontal="center"/>
    </xf>
    <xf numFmtId="164" fontId="14" fillId="8" borderId="9" xfId="0" applyNumberFormat="1" applyFont="1" applyFill="1" applyBorder="1"/>
    <xf numFmtId="164" fontId="14" fillId="8" borderId="8" xfId="0" applyNumberFormat="1" applyFont="1" applyFill="1" applyBorder="1" applyAlignment="1">
      <alignment horizontal="center"/>
    </xf>
    <xf numFmtId="164" fontId="13" fillId="8" borderId="9" xfId="0" applyNumberFormat="1" applyFont="1" applyFill="1" applyBorder="1" applyAlignment="1">
      <alignment horizontal="center"/>
    </xf>
    <xf numFmtId="164" fontId="13" fillId="8" borderId="6" xfId="0" applyNumberFormat="1" applyFont="1" applyFill="1" applyBorder="1"/>
    <xf numFmtId="164" fontId="14" fillId="8" borderId="7" xfId="0" applyNumberFormat="1" applyFont="1" applyFill="1" applyBorder="1" applyAlignment="1">
      <alignment horizontal="center"/>
    </xf>
    <xf numFmtId="164" fontId="13" fillId="8" borderId="6" xfId="0" applyNumberFormat="1" applyFont="1" applyFill="1" applyBorder="1" applyAlignment="1">
      <alignment horizontal="center"/>
    </xf>
    <xf numFmtId="164" fontId="4" fillId="0" borderId="17" xfId="0" applyNumberFormat="1" applyFont="1" applyFill="1" applyBorder="1"/>
    <xf numFmtId="0" fontId="9" fillId="0" borderId="0" xfId="0" applyFont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164" fontId="13" fillId="8" borderId="9" xfId="0" applyNumberFormat="1" applyFont="1" applyFill="1" applyBorder="1"/>
    <xf numFmtId="164" fontId="2" fillId="0" borderId="3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3" fillId="8" borderId="9" xfId="0" applyNumberFormat="1" applyFont="1" applyFill="1" applyBorder="1" applyAlignment="1">
      <alignment vertical="top" wrapText="1"/>
    </xf>
    <xf numFmtId="164" fontId="3" fillId="0" borderId="4" xfId="0" applyNumberFormat="1" applyFont="1" applyFill="1" applyBorder="1"/>
    <xf numFmtId="0" fontId="2" fillId="0" borderId="9" xfId="0" applyFont="1" applyFill="1" applyBorder="1"/>
    <xf numFmtId="0" fontId="2" fillId="0" borderId="6" xfId="0" applyFont="1" applyFill="1" applyBorder="1"/>
    <xf numFmtId="164" fontId="2" fillId="0" borderId="17" xfId="0" applyNumberFormat="1" applyFont="1" applyFill="1" applyBorder="1" applyAlignment="1"/>
    <xf numFmtId="164" fontId="13" fillId="8" borderId="0" xfId="0" applyNumberFormat="1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0" fontId="2" fillId="0" borderId="8" xfId="0" applyFont="1" applyFill="1" applyBorder="1"/>
    <xf numFmtId="0" fontId="2" fillId="0" borderId="17" xfId="0" applyFont="1" applyFill="1" applyBorder="1"/>
    <xf numFmtId="164" fontId="2" fillId="0" borderId="7" xfId="0" applyNumberFormat="1" applyFont="1" applyFill="1" applyBorder="1" applyAlignment="1">
      <alignment horizontal="right"/>
    </xf>
    <xf numFmtId="164" fontId="2" fillId="0" borderId="12" xfId="0" quotePrefix="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64" fontId="2" fillId="0" borderId="3" xfId="0" applyNumberFormat="1" applyFont="1" applyFill="1" applyBorder="1"/>
    <xf numFmtId="164" fontId="2" fillId="0" borderId="1" xfId="0" applyNumberFormat="1" applyFont="1" applyFill="1" applyBorder="1" applyAlignment="1">
      <alignment horizontal="right"/>
    </xf>
    <xf numFmtId="0" fontId="2" fillId="0" borderId="12" xfId="0" applyFont="1" applyFill="1" applyBorder="1" applyAlignment="1"/>
    <xf numFmtId="0" fontId="2" fillId="0" borderId="12" xfId="0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wrapText="1"/>
    </xf>
    <xf numFmtId="164" fontId="2" fillId="0" borderId="12" xfId="0" applyNumberFormat="1" applyFont="1" applyFill="1" applyBorder="1" applyAlignment="1">
      <alignment horizontal="left"/>
    </xf>
    <xf numFmtId="164" fontId="5" fillId="0" borderId="9" xfId="0" applyNumberFormat="1" applyFont="1" applyFill="1" applyBorder="1" applyAlignment="1">
      <alignment horizontal="center"/>
    </xf>
    <xf numFmtId="164" fontId="4" fillId="0" borderId="4" xfId="0" applyNumberFormat="1" applyFont="1" applyFill="1" applyBorder="1"/>
    <xf numFmtId="164" fontId="14" fillId="8" borderId="1" xfId="0" applyNumberFormat="1" applyFont="1" applyFill="1" applyBorder="1" applyAlignment="1">
      <alignment horizontal="center"/>
    </xf>
    <xf numFmtId="164" fontId="4" fillId="0" borderId="3" xfId="0" applyNumberFormat="1" applyFont="1" applyFill="1" applyBorder="1"/>
    <xf numFmtId="164" fontId="4" fillId="0" borderId="21" xfId="0" applyNumberFormat="1" applyFont="1" applyFill="1" applyBorder="1"/>
    <xf numFmtId="164" fontId="2" fillId="0" borderId="21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/>
    <xf numFmtId="164" fontId="2" fillId="0" borderId="5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/>
    </xf>
    <xf numFmtId="164" fontId="8" fillId="0" borderId="9" xfId="0" applyNumberFormat="1" applyFont="1" applyFill="1" applyBorder="1"/>
    <xf numFmtId="164" fontId="2" fillId="3" borderId="9" xfId="0" applyNumberFormat="1" applyFont="1" applyFill="1" applyBorder="1"/>
    <xf numFmtId="0" fontId="2" fillId="3" borderId="9" xfId="0" applyFont="1" applyFill="1" applyBorder="1"/>
    <xf numFmtId="164" fontId="2" fillId="0" borderId="10" xfId="0" applyNumberFormat="1" applyFont="1" applyFill="1" applyBorder="1" applyAlignment="1">
      <alignment horizontal="right"/>
    </xf>
    <xf numFmtId="164" fontId="2" fillId="3" borderId="12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4" fillId="0" borderId="41" xfId="0" applyNumberFormat="1" applyFont="1" applyFill="1" applyBorder="1"/>
    <xf numFmtId="164" fontId="14" fillId="8" borderId="21" xfId="0" applyNumberFormat="1" applyFont="1" applyFill="1" applyBorder="1" applyAlignment="1">
      <alignment horizontal="center"/>
    </xf>
    <xf numFmtId="164" fontId="14" fillId="8" borderId="21" xfId="0" applyNumberFormat="1" applyFont="1" applyFill="1" applyBorder="1"/>
    <xf numFmtId="164" fontId="14" fillId="8" borderId="17" xfId="0" applyNumberFormat="1" applyFont="1" applyFill="1" applyBorder="1"/>
    <xf numFmtId="164" fontId="14" fillId="8" borderId="0" xfId="0" applyNumberFormat="1" applyFont="1" applyFill="1" applyBorder="1"/>
    <xf numFmtId="164" fontId="13" fillId="8" borderId="3" xfId="0" applyNumberFormat="1" applyFont="1" applyFill="1" applyBorder="1"/>
    <xf numFmtId="164" fontId="13" fillId="8" borderId="1" xfId="0" applyNumberFormat="1" applyFont="1" applyFill="1" applyBorder="1"/>
    <xf numFmtId="164" fontId="15" fillId="8" borderId="0" xfId="0" applyNumberFormat="1" applyFont="1" applyFill="1" applyBorder="1"/>
    <xf numFmtId="164" fontId="13" fillId="8" borderId="21" xfId="0" applyNumberFormat="1" applyFont="1" applyFill="1" applyBorder="1"/>
    <xf numFmtId="164" fontId="3" fillId="0" borderId="5" xfId="0" applyNumberFormat="1" applyFont="1" applyFill="1" applyBorder="1"/>
    <xf numFmtId="164" fontId="3" fillId="0" borderId="6" xfId="0" applyNumberFormat="1" applyFont="1" applyFill="1" applyBorder="1"/>
    <xf numFmtId="164" fontId="13" fillId="0" borderId="4" xfId="0" applyNumberFormat="1" applyFont="1" applyFill="1" applyBorder="1"/>
    <xf numFmtId="164" fontId="14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/>
    <xf numFmtId="164" fontId="14" fillId="0" borderId="5" xfId="0" applyNumberFormat="1" applyFont="1" applyFill="1" applyBorder="1"/>
    <xf numFmtId="164" fontId="13" fillId="0" borderId="10" xfId="0" applyNumberFormat="1" applyFont="1" applyFill="1" applyBorder="1"/>
    <xf numFmtId="164" fontId="4" fillId="0" borderId="42" xfId="0" applyNumberFormat="1" applyFont="1" applyFill="1" applyBorder="1"/>
    <xf numFmtId="0" fontId="2" fillId="0" borderId="15" xfId="0" applyFont="1" applyFill="1" applyBorder="1"/>
    <xf numFmtId="164" fontId="8" fillId="0" borderId="8" xfId="0" applyNumberFormat="1" applyFont="1" applyFill="1" applyBorder="1"/>
    <xf numFmtId="0" fontId="2" fillId="0" borderId="8" xfId="0" applyFont="1" applyFill="1" applyBorder="1" applyAlignment="1">
      <alignment horizontal="right"/>
    </xf>
    <xf numFmtId="164" fontId="2" fillId="0" borderId="11" xfId="0" quotePrefix="1" applyNumberFormat="1" applyFont="1" applyFill="1" applyBorder="1" applyAlignment="1">
      <alignment horizontal="right"/>
    </xf>
    <xf numFmtId="164" fontId="13" fillId="0" borderId="12" xfId="0" applyNumberFormat="1" applyFont="1" applyFill="1" applyBorder="1" applyAlignment="1">
      <alignment horizontal="left"/>
    </xf>
    <xf numFmtId="164" fontId="13" fillId="0" borderId="12" xfId="0" applyNumberFormat="1" applyFont="1" applyFill="1" applyBorder="1"/>
    <xf numFmtId="164" fontId="13" fillId="0" borderId="3" xfId="0" applyNumberFormat="1" applyFont="1" applyFill="1" applyBorder="1"/>
    <xf numFmtId="0" fontId="0" fillId="0" borderId="0" xfId="0" applyFill="1" applyBorder="1" applyAlignment="1">
      <alignment vertical="top" wrapText="1"/>
    </xf>
    <xf numFmtId="0" fontId="0" fillId="0" borderId="8" xfId="0" applyFill="1" applyBorder="1" applyAlignment="1"/>
    <xf numFmtId="0" fontId="0" fillId="0" borderId="0" xfId="0" applyFill="1" applyBorder="1" applyAlignment="1">
      <alignment vertical="top"/>
    </xf>
    <xf numFmtId="164" fontId="4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/>
    <xf numFmtId="164" fontId="2" fillId="0" borderId="3" xfId="0" applyNumberFormat="1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21" xfId="0" applyFont="1" applyFill="1" applyBorder="1"/>
    <xf numFmtId="164" fontId="2" fillId="0" borderId="16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14" fillId="8" borderId="3" xfId="0" applyNumberFormat="1" applyFont="1" applyFill="1" applyBorder="1"/>
    <xf numFmtId="164" fontId="14" fillId="8" borderId="1" xfId="0" applyNumberFormat="1" applyFont="1" applyFill="1" applyBorder="1"/>
    <xf numFmtId="164" fontId="3" fillId="0" borderId="9" xfId="0" applyNumberFormat="1" applyFont="1" applyFill="1" applyBorder="1"/>
    <xf numFmtId="164" fontId="3" fillId="0" borderId="8" xfId="0" applyNumberFormat="1" applyFont="1" applyFill="1" applyBorder="1"/>
    <xf numFmtId="164" fontId="2" fillId="0" borderId="12" xfId="0" quotePrefix="1" applyNumberFormat="1" applyFont="1" applyFill="1" applyBorder="1"/>
    <xf numFmtId="164" fontId="2" fillId="0" borderId="21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/>
    <xf numFmtId="164" fontId="13" fillId="0" borderId="10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8" xfId="0" applyFill="1" applyBorder="1"/>
    <xf numFmtId="164" fontId="2" fillId="0" borderId="39" xfId="2" applyNumberFormat="1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164" fontId="2" fillId="0" borderId="27" xfId="0" applyNumberFormat="1" applyFont="1" applyFill="1" applyBorder="1" applyAlignment="1">
      <alignment vertical="top" wrapText="1"/>
    </xf>
    <xf numFmtId="164" fontId="2" fillId="0" borderId="25" xfId="0" applyNumberFormat="1" applyFont="1" applyFill="1" applyBorder="1" applyAlignment="1">
      <alignment vertical="top"/>
    </xf>
    <xf numFmtId="0" fontId="2" fillId="0" borderId="25" xfId="0" applyFont="1" applyFill="1" applyBorder="1" applyAlignment="1">
      <alignment horizontal="center" vertical="top" wrapText="1"/>
    </xf>
    <xf numFmtId="164" fontId="2" fillId="0" borderId="27" xfId="0" applyNumberFormat="1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34" xfId="0" applyNumberFormat="1" applyFont="1" applyFill="1" applyBorder="1" applyAlignment="1">
      <alignment vertical="top"/>
    </xf>
    <xf numFmtId="164" fontId="2" fillId="0" borderId="0" xfId="2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0" xfId="0" quotePrefix="1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34" xfId="2" applyNumberFormat="1" applyFont="1" applyFill="1" applyBorder="1" applyAlignment="1">
      <alignment horizontal="center" vertical="top"/>
    </xf>
    <xf numFmtId="164" fontId="2" fillId="0" borderId="39" xfId="2" applyNumberFormat="1" applyFont="1" applyFill="1" applyBorder="1" applyAlignment="1">
      <alignment horizontal="center" vertical="top"/>
    </xf>
    <xf numFmtId="0" fontId="2" fillId="0" borderId="39" xfId="2" applyFont="1" applyFill="1" applyBorder="1" applyAlignment="1">
      <alignment vertical="top"/>
    </xf>
    <xf numFmtId="0" fontId="2" fillId="0" borderId="39" xfId="2" applyFont="1" applyFill="1" applyBorder="1" applyAlignment="1">
      <alignment vertical="top" wrapText="1"/>
    </xf>
    <xf numFmtId="0" fontId="2" fillId="0" borderId="43" xfId="2" applyFont="1" applyFill="1" applyBorder="1" applyAlignment="1">
      <alignment horizontal="center" vertical="top" wrapText="1"/>
    </xf>
    <xf numFmtId="164" fontId="2" fillId="0" borderId="43" xfId="2" applyNumberFormat="1" applyFont="1" applyFill="1" applyBorder="1" applyAlignment="1">
      <alignment vertical="top"/>
    </xf>
    <xf numFmtId="164" fontId="2" fillId="0" borderId="39" xfId="2" applyNumberFormat="1" applyFont="1" applyFill="1" applyBorder="1" applyAlignment="1">
      <alignment vertical="top"/>
    </xf>
    <xf numFmtId="164" fontId="2" fillId="0" borderId="39" xfId="2" applyNumberFormat="1" applyFont="1" applyFill="1" applyBorder="1" applyAlignment="1">
      <alignment horizontal="right" vertical="top"/>
    </xf>
    <xf numFmtId="0" fontId="2" fillId="0" borderId="34" xfId="2" applyFont="1" applyFill="1" applyBorder="1" applyAlignment="1">
      <alignment horizontal="center" vertical="top"/>
    </xf>
    <xf numFmtId="164" fontId="2" fillId="0" borderId="34" xfId="2" applyNumberFormat="1" applyFont="1" applyFill="1" applyBorder="1" applyAlignment="1">
      <alignment horizontal="center" vertical="top" wrapText="1"/>
    </xf>
    <xf numFmtId="0" fontId="2" fillId="0" borderId="25" xfId="2" applyFont="1" applyFill="1" applyBorder="1" applyAlignment="1">
      <alignment wrapText="1"/>
    </xf>
    <xf numFmtId="164" fontId="4" fillId="0" borderId="8" xfId="0" applyNumberFormat="1" applyFont="1" applyFill="1" applyBorder="1"/>
    <xf numFmtId="0" fontId="2" fillId="0" borderId="9" xfId="0" applyFont="1" applyFill="1" applyBorder="1" applyAlignment="1">
      <alignment horizontal="left"/>
    </xf>
    <xf numFmtId="22" fontId="2" fillId="0" borderId="0" xfId="0" applyNumberFormat="1" applyFont="1" applyFill="1" applyAlignment="1">
      <alignment horizontal="left"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9" borderId="34" xfId="2" applyNumberFormat="1" applyFont="1" applyFill="1" applyBorder="1" applyAlignment="1">
      <alignment vertical="top"/>
    </xf>
    <xf numFmtId="0" fontId="2" fillId="9" borderId="34" xfId="2" applyFont="1" applyFill="1" applyBorder="1" applyAlignment="1">
      <alignment vertical="top"/>
    </xf>
    <xf numFmtId="0" fontId="2" fillId="9" borderId="34" xfId="2" applyFont="1" applyFill="1" applyBorder="1" applyAlignment="1">
      <alignment vertical="top" wrapText="1"/>
    </xf>
    <xf numFmtId="0" fontId="2" fillId="9" borderId="37" xfId="2" applyFont="1" applyFill="1" applyBorder="1" applyAlignment="1">
      <alignment horizontal="center" vertical="top" wrapText="1"/>
    </xf>
    <xf numFmtId="164" fontId="2" fillId="9" borderId="37" xfId="2" applyNumberFormat="1" applyFont="1" applyFill="1" applyBorder="1" applyAlignment="1">
      <alignment vertical="top"/>
    </xf>
    <xf numFmtId="164" fontId="2" fillId="9" borderId="34" xfId="2" applyNumberFormat="1" applyFont="1" applyFill="1" applyBorder="1" applyAlignment="1">
      <alignment vertical="top"/>
    </xf>
    <xf numFmtId="164" fontId="2" fillId="9" borderId="25" xfId="2" applyNumberFormat="1" applyFont="1" applyFill="1" applyBorder="1" applyAlignment="1">
      <alignment horizontal="center" vertical="top"/>
    </xf>
    <xf numFmtId="164" fontId="2" fillId="9" borderId="34" xfId="2" applyNumberFormat="1" applyFont="1" applyFill="1" applyBorder="1" applyAlignment="1">
      <alignment horizontal="right" vertical="top"/>
    </xf>
    <xf numFmtId="0" fontId="2" fillId="9" borderId="25" xfId="2" applyFont="1" applyFill="1" applyBorder="1" applyAlignment="1">
      <alignment horizontal="center" vertical="top"/>
    </xf>
    <xf numFmtId="164" fontId="2" fillId="9" borderId="35" xfId="2" applyNumberFormat="1" applyFont="1" applyFill="1" applyBorder="1" applyAlignment="1">
      <alignment horizontal="right" vertical="top"/>
    </xf>
    <xf numFmtId="164" fontId="2" fillId="9" borderId="25" xfId="2" applyNumberFormat="1" applyFont="1" applyFill="1" applyBorder="1" applyAlignment="1">
      <alignment horizontal="center" vertical="top" wrapText="1"/>
    </xf>
    <xf numFmtId="49" fontId="2" fillId="9" borderId="34" xfId="0" applyNumberFormat="1" applyFont="1" applyFill="1" applyBorder="1" applyAlignment="1">
      <alignment horizontal="center" vertical="top"/>
    </xf>
    <xf numFmtId="0" fontId="2" fillId="9" borderId="0" xfId="2" applyFont="1" applyFill="1" applyAlignment="1">
      <alignment vertical="top"/>
    </xf>
    <xf numFmtId="0" fontId="2" fillId="9" borderId="35" xfId="2" applyNumberFormat="1" applyFont="1" applyFill="1" applyBorder="1" applyAlignment="1">
      <alignment vertical="top"/>
    </xf>
    <xf numFmtId="0" fontId="2" fillId="9" borderId="35" xfId="2" applyFont="1" applyFill="1" applyBorder="1" applyAlignment="1">
      <alignment vertical="top"/>
    </xf>
    <xf numFmtId="0" fontId="2" fillId="9" borderId="35" xfId="2" applyFont="1" applyFill="1" applyBorder="1" applyAlignment="1">
      <alignment vertical="top" wrapText="1"/>
    </xf>
    <xf numFmtId="0" fontId="2" fillId="9" borderId="36" xfId="2" applyFont="1" applyFill="1" applyBorder="1" applyAlignment="1">
      <alignment horizontal="center" vertical="top" wrapText="1"/>
    </xf>
    <xf numFmtId="164" fontId="2" fillId="9" borderId="36" xfId="2" applyNumberFormat="1" applyFont="1" applyFill="1" applyBorder="1" applyAlignment="1">
      <alignment vertical="top"/>
    </xf>
    <xf numFmtId="164" fontId="2" fillId="9" borderId="35" xfId="2" applyNumberFormat="1" applyFont="1" applyFill="1" applyBorder="1" applyAlignment="1">
      <alignment vertical="top"/>
    </xf>
    <xf numFmtId="49" fontId="2" fillId="9" borderId="35" xfId="0" applyNumberFormat="1" applyFont="1" applyFill="1" applyBorder="1" applyAlignment="1">
      <alignment horizontal="center" vertical="top"/>
    </xf>
    <xf numFmtId="164" fontId="2" fillId="9" borderId="35" xfId="2" applyNumberFormat="1" applyFont="1" applyFill="1" applyBorder="1" applyAlignment="1">
      <alignment horizontal="center" vertical="top"/>
    </xf>
    <xf numFmtId="0" fontId="2" fillId="9" borderId="35" xfId="2" applyFont="1" applyFill="1" applyBorder="1" applyAlignment="1">
      <alignment horizontal="center" vertical="top"/>
    </xf>
    <xf numFmtId="164" fontId="2" fillId="9" borderId="35" xfId="2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top" wrapText="1"/>
    </xf>
    <xf numFmtId="0" fontId="2" fillId="0" borderId="37" xfId="0" applyFont="1" applyFill="1" applyBorder="1" applyAlignment="1">
      <alignment horizontal="center" vertical="top"/>
    </xf>
    <xf numFmtId="164" fontId="2" fillId="0" borderId="37" xfId="0" applyNumberFormat="1" applyFont="1" applyFill="1" applyBorder="1" applyAlignment="1">
      <alignment vertical="top" wrapText="1"/>
    </xf>
    <xf numFmtId="164" fontId="2" fillId="0" borderId="37" xfId="0" applyNumberFormat="1" applyFont="1" applyFill="1" applyBorder="1"/>
    <xf numFmtId="164" fontId="2" fillId="0" borderId="34" xfId="0" applyNumberFormat="1" applyFont="1" applyFill="1" applyBorder="1" applyAlignment="1">
      <alignment vertical="top"/>
    </xf>
    <xf numFmtId="164" fontId="2" fillId="0" borderId="27" xfId="0" applyNumberFormat="1" applyFont="1" applyFill="1" applyBorder="1" applyAlignment="1"/>
    <xf numFmtId="164" fontId="2" fillId="0" borderId="34" xfId="0" applyNumberFormat="1" applyFont="1" applyFill="1" applyBorder="1" applyAlignment="1">
      <alignment vertical="top" wrapText="1"/>
    </xf>
    <xf numFmtId="0" fontId="2" fillId="0" borderId="34" xfId="0" applyFont="1" applyFill="1" applyBorder="1" applyAlignment="1">
      <alignment horizontal="center" vertical="top" wrapText="1"/>
    </xf>
    <xf numFmtId="164" fontId="2" fillId="0" borderId="37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164" fontId="4" fillId="0" borderId="23" xfId="2" applyNumberFormat="1" applyFont="1" applyFill="1" applyBorder="1" applyAlignment="1">
      <alignment horizontal="center" vertical="center" wrapText="1"/>
    </xf>
    <xf numFmtId="164" fontId="4" fillId="0" borderId="29" xfId="2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/>
    </xf>
    <xf numFmtId="0" fontId="4" fillId="0" borderId="0" xfId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164" fontId="13" fillId="8" borderId="9" xfId="0" applyNumberFormat="1" applyFont="1" applyFill="1" applyBorder="1" applyAlignment="1">
      <alignment horizontal="left" vertical="top" wrapText="1"/>
    </xf>
    <xf numFmtId="164" fontId="13" fillId="8" borderId="0" xfId="0" applyNumberFormat="1" applyFont="1" applyFill="1" applyBorder="1" applyAlignment="1">
      <alignment horizontal="left" vertical="top" wrapText="1"/>
    </xf>
    <xf numFmtId="164" fontId="13" fillId="8" borderId="6" xfId="0" applyNumberFormat="1" applyFont="1" applyFill="1" applyBorder="1" applyAlignment="1">
      <alignment horizontal="left" vertical="top" wrapText="1"/>
    </xf>
    <xf numFmtId="164" fontId="13" fillId="8" borderId="1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left" vertical="top" wrapText="1"/>
    </xf>
    <xf numFmtId="0" fontId="4" fillId="0" borderId="23" xfId="2" applyFont="1" applyFill="1" applyBorder="1" applyAlignment="1">
      <alignment horizontal="center" wrapText="1"/>
    </xf>
    <xf numFmtId="0" fontId="4" fillId="0" borderId="25" xfId="2" applyFont="1" applyFill="1" applyBorder="1" applyAlignment="1">
      <alignment horizontal="center" wrapText="1"/>
    </xf>
    <xf numFmtId="0" fontId="4" fillId="0" borderId="29" xfId="2" applyFont="1" applyFill="1" applyBorder="1" applyAlignment="1">
      <alignment horizontal="center" wrapText="1"/>
    </xf>
    <xf numFmtId="164" fontId="4" fillId="0" borderId="13" xfId="2" applyNumberFormat="1" applyFont="1" applyFill="1" applyBorder="1" applyAlignment="1">
      <alignment horizontal="left"/>
    </xf>
    <xf numFmtId="164" fontId="11" fillId="0" borderId="22" xfId="2" applyNumberFormat="1" applyFill="1" applyBorder="1" applyAlignment="1">
      <alignment horizontal="left"/>
    </xf>
    <xf numFmtId="164" fontId="11" fillId="0" borderId="14" xfId="2" applyNumberFormat="1" applyFill="1" applyBorder="1" applyAlignment="1">
      <alignment horizontal="left"/>
    </xf>
    <xf numFmtId="164" fontId="4" fillId="0" borderId="23" xfId="2" applyNumberFormat="1" applyFont="1" applyFill="1" applyBorder="1" applyAlignment="1">
      <alignment horizontal="center" vertical="center" wrapText="1"/>
    </xf>
    <xf numFmtId="164" fontId="4" fillId="0" borderId="29" xfId="2" applyNumberFormat="1" applyFont="1" applyFill="1" applyBorder="1" applyAlignment="1">
      <alignment horizontal="center" vertical="center" wrapText="1"/>
    </xf>
    <xf numFmtId="0" fontId="3" fillId="0" borderId="26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9" xfId="3" applyFont="1" applyBorder="1" applyAlignment="1">
      <alignment horizontal="left"/>
    </xf>
    <xf numFmtId="0" fontId="3" fillId="0" borderId="0" xfId="3" applyFont="1" applyBorder="1" applyAlignment="1">
      <alignment horizontal="left"/>
    </xf>
  </cellXfs>
  <cellStyles count="4">
    <cellStyle name="Normal" xfId="0" builtinId="0"/>
    <cellStyle name="Normal 2" xfId="2"/>
    <cellStyle name="Normal 3" xfId="3"/>
    <cellStyle name="Normal_Sheet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42335</xdr:colOff>
      <xdr:row>20</xdr:row>
      <xdr:rowOff>84667</xdr:rowOff>
    </xdr:from>
    <xdr:to>
      <xdr:col>2</xdr:col>
      <xdr:colOff>307849</xdr:colOff>
      <xdr:row>22</xdr:row>
      <xdr:rowOff>143934</xdr:rowOff>
    </xdr:to>
    <xdr:sp macro="" textlink="">
      <xdr:nvSpPr>
        <xdr:cNvPr id="2" name="Right Brace 1"/>
        <xdr:cNvSpPr/>
      </xdr:nvSpPr>
      <xdr:spPr bwMode="auto">
        <a:xfrm>
          <a:off x="465668" y="4453467"/>
          <a:ext cx="265514" cy="43180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6"/>
  <sheetViews>
    <sheetView topLeftCell="A26" zoomScale="90" zoomScaleNormal="90" workbookViewId="0">
      <selection activeCell="B54" sqref="B54"/>
    </sheetView>
  </sheetViews>
  <sheetFormatPr defaultColWidth="9.140625" defaultRowHeight="15"/>
  <cols>
    <col min="1" max="1" width="6" style="2" customWidth="1"/>
    <col min="2" max="2" width="38" style="2" customWidth="1"/>
    <col min="3" max="3" width="6" style="8" customWidth="1"/>
    <col min="4" max="4" width="14.85546875" style="2" bestFit="1" customWidth="1"/>
    <col min="5" max="5" width="12.85546875" style="2" bestFit="1" customWidth="1"/>
    <col min="6" max="6" width="13.140625" style="2" bestFit="1" customWidth="1"/>
    <col min="7" max="7" width="14.7109375" style="2" bestFit="1" customWidth="1"/>
    <col min="8" max="8" width="11" style="2" bestFit="1" customWidth="1"/>
    <col min="9" max="9" width="14.140625" style="2" bestFit="1" customWidth="1"/>
    <col min="10" max="10" width="11" style="2" bestFit="1" customWidth="1"/>
    <col min="11" max="12" width="9.140625" style="2"/>
    <col min="13" max="13" width="10.28515625" style="2" customWidth="1"/>
    <col min="14" max="16384" width="9.140625" style="2"/>
  </cols>
  <sheetData>
    <row r="1" spans="1:10" ht="15.75">
      <c r="A1" s="6" t="s">
        <v>263</v>
      </c>
      <c r="B1" s="6"/>
      <c r="J1" s="3" t="s">
        <v>15</v>
      </c>
    </row>
    <row r="2" spans="1:10">
      <c r="G2" s="2" t="s">
        <v>6</v>
      </c>
      <c r="H2" s="2" t="s">
        <v>6</v>
      </c>
      <c r="I2" s="2" t="s">
        <v>6</v>
      </c>
    </row>
    <row r="4" spans="1:10" ht="15.75">
      <c r="A4" s="303" t="s">
        <v>20</v>
      </c>
      <c r="B4" s="390"/>
      <c r="C4" s="307"/>
      <c r="D4" s="328" t="s">
        <v>22</v>
      </c>
      <c r="E4" s="305" t="s">
        <v>22</v>
      </c>
      <c r="F4" s="306" t="s">
        <v>24</v>
      </c>
      <c r="G4" s="305" t="s">
        <v>34</v>
      </c>
      <c r="H4" s="305" t="s">
        <v>0</v>
      </c>
      <c r="I4" s="305" t="s">
        <v>34</v>
      </c>
      <c r="J4" s="305" t="s">
        <v>0</v>
      </c>
    </row>
    <row r="5" spans="1:10" ht="15.75">
      <c r="A5" s="329"/>
      <c r="B5" s="389"/>
      <c r="C5" s="330"/>
      <c r="D5" s="331" t="s">
        <v>8</v>
      </c>
      <c r="E5" s="310" t="s">
        <v>23</v>
      </c>
      <c r="F5" s="311"/>
      <c r="G5" s="310" t="s">
        <v>33</v>
      </c>
      <c r="H5" s="310"/>
      <c r="I5" s="310" t="s">
        <v>33</v>
      </c>
      <c r="J5" s="310"/>
    </row>
    <row r="6" spans="1:10" ht="15.75">
      <c r="A6" s="329"/>
      <c r="B6" s="389"/>
      <c r="C6" s="330"/>
      <c r="D6" s="331"/>
      <c r="E6" s="310"/>
      <c r="F6" s="311"/>
      <c r="G6" s="310" t="s">
        <v>507</v>
      </c>
      <c r="H6" s="310"/>
      <c r="I6" s="310" t="s">
        <v>508</v>
      </c>
      <c r="J6" s="310"/>
    </row>
    <row r="7" spans="1:10" ht="15.75">
      <c r="A7" s="332" t="s">
        <v>264</v>
      </c>
      <c r="B7" s="391"/>
      <c r="C7" s="333"/>
      <c r="D7" s="334" t="s">
        <v>7</v>
      </c>
      <c r="E7" s="314" t="s">
        <v>7</v>
      </c>
      <c r="F7" s="315" t="s">
        <v>7</v>
      </c>
      <c r="G7" s="310" t="s">
        <v>7</v>
      </c>
      <c r="H7" s="310" t="s">
        <v>7</v>
      </c>
      <c r="I7" s="310" t="s">
        <v>7</v>
      </c>
      <c r="J7" s="314" t="s">
        <v>7</v>
      </c>
    </row>
    <row r="8" spans="1:10" ht="15.75">
      <c r="A8" s="324"/>
      <c r="B8" s="364"/>
      <c r="C8" s="37"/>
      <c r="D8" s="25"/>
      <c r="E8" s="20"/>
      <c r="F8" s="12"/>
      <c r="G8" s="39"/>
      <c r="H8" s="39"/>
      <c r="I8" s="39"/>
      <c r="J8" s="20"/>
    </row>
    <row r="9" spans="1:10" ht="15.75">
      <c r="A9" s="18" t="s">
        <v>4</v>
      </c>
      <c r="B9" s="9"/>
      <c r="C9" s="17"/>
      <c r="D9" s="18">
        <v>2150600</v>
      </c>
      <c r="E9" s="22">
        <v>-1621000</v>
      </c>
      <c r="F9" s="9">
        <v>0</v>
      </c>
      <c r="G9" s="22"/>
      <c r="H9" s="29">
        <f>SUM(D9:G9)</f>
        <v>529600</v>
      </c>
      <c r="I9" s="22"/>
      <c r="J9" s="29">
        <f>SUM(H9:I9)</f>
        <v>529600</v>
      </c>
    </row>
    <row r="10" spans="1:10" ht="15.75">
      <c r="A10" s="18" t="s">
        <v>52</v>
      </c>
      <c r="B10" s="9"/>
      <c r="C10" s="17"/>
      <c r="D10" s="18">
        <v>1402334</v>
      </c>
      <c r="E10" s="22">
        <v>-1147541</v>
      </c>
      <c r="F10" s="9">
        <v>0</v>
      </c>
      <c r="G10" s="22"/>
      <c r="H10" s="29">
        <f>SUM(D10:G10)</f>
        <v>254793</v>
      </c>
      <c r="I10" s="22"/>
      <c r="J10" s="29">
        <f>SUM(H10:I10)</f>
        <v>254793</v>
      </c>
    </row>
    <row r="11" spans="1:10" ht="7.5" customHeight="1">
      <c r="A11" s="325"/>
      <c r="B11" s="287"/>
      <c r="C11" s="375"/>
      <c r="D11" s="325"/>
      <c r="E11" s="42"/>
      <c r="F11" s="287"/>
      <c r="G11" s="42"/>
      <c r="H11" s="42"/>
      <c r="I11" s="42"/>
      <c r="J11" s="293"/>
    </row>
    <row r="12" spans="1:10" ht="15.75">
      <c r="A12" s="297" t="s">
        <v>9</v>
      </c>
      <c r="B12" s="374"/>
      <c r="C12" s="375"/>
      <c r="D12" s="297">
        <f>+D10-D9</f>
        <v>-748266</v>
      </c>
      <c r="E12" s="293">
        <f>+E10-E9</f>
        <v>473459</v>
      </c>
      <c r="F12" s="374">
        <f>+F10-F9</f>
        <v>0</v>
      </c>
      <c r="G12" s="42"/>
      <c r="H12" s="293">
        <f>+H10-H9</f>
        <v>-274807</v>
      </c>
      <c r="I12" s="42"/>
      <c r="J12" s="293">
        <f>+J10-J9</f>
        <v>-274807</v>
      </c>
    </row>
    <row r="13" spans="1:10" ht="6" customHeight="1">
      <c r="A13" s="18"/>
      <c r="B13" s="9"/>
      <c r="C13" s="5"/>
      <c r="D13" s="27"/>
      <c r="E13" s="29"/>
      <c r="F13" s="13"/>
      <c r="G13" s="22"/>
      <c r="H13" s="22"/>
      <c r="I13" s="22"/>
      <c r="J13" s="29"/>
    </row>
    <row r="14" spans="1:10" ht="15.75">
      <c r="A14" s="325" t="s">
        <v>30</v>
      </c>
      <c r="B14" s="287"/>
      <c r="C14" s="375"/>
      <c r="D14" s="325"/>
      <c r="E14" s="42"/>
      <c r="F14" s="287"/>
      <c r="G14" s="42">
        <f>'Appendix B'!H15</f>
        <v>268700</v>
      </c>
      <c r="H14" s="293">
        <f>SUM(B14:G14)</f>
        <v>268700</v>
      </c>
      <c r="I14" s="42">
        <v>0</v>
      </c>
      <c r="J14" s="293">
        <f>SUM(H14:I14)</f>
        <v>268700</v>
      </c>
    </row>
    <row r="15" spans="1:10" ht="6.75" customHeight="1">
      <c r="A15" s="18"/>
      <c r="B15" s="9"/>
      <c r="C15" s="5"/>
      <c r="D15" s="18"/>
      <c r="E15" s="22"/>
      <c r="F15" s="9"/>
      <c r="G15" s="22"/>
      <c r="H15" s="22"/>
      <c r="I15" s="22"/>
      <c r="J15" s="29"/>
    </row>
    <row r="16" spans="1:10" ht="16.5" thickBot="1">
      <c r="A16" s="31" t="s">
        <v>31</v>
      </c>
      <c r="B16" s="10"/>
      <c r="C16" s="327"/>
      <c r="D16" s="31">
        <f>+D12+D14</f>
        <v>-748266</v>
      </c>
      <c r="E16" s="32">
        <f>+E12+E14</f>
        <v>473459</v>
      </c>
      <c r="F16" s="10">
        <f>+F12+F14</f>
        <v>0</v>
      </c>
      <c r="G16" s="10">
        <f t="shared" ref="G16:J16" si="0">+G12+G14</f>
        <v>268700</v>
      </c>
      <c r="H16" s="10">
        <f t="shared" si="0"/>
        <v>-6107</v>
      </c>
      <c r="I16" s="10">
        <f>+I12+I14</f>
        <v>0</v>
      </c>
      <c r="J16" s="32">
        <f t="shared" si="0"/>
        <v>-6107</v>
      </c>
    </row>
    <row r="17" spans="1:10" ht="16.5" thickTop="1">
      <c r="A17" s="6"/>
      <c r="B17" s="6"/>
      <c r="C17" s="4"/>
      <c r="D17" s="6"/>
      <c r="E17" s="6"/>
      <c r="F17" s="6"/>
      <c r="G17" s="6"/>
      <c r="H17" s="6"/>
      <c r="I17" s="6"/>
    </row>
    <row r="18" spans="1:10" ht="15.75">
      <c r="A18" s="6"/>
      <c r="B18" s="6"/>
      <c r="C18" s="4"/>
      <c r="D18" s="6"/>
      <c r="E18" s="6"/>
      <c r="F18" s="6"/>
      <c r="G18" s="6"/>
      <c r="H18" s="6"/>
      <c r="I18" s="6"/>
    </row>
    <row r="19" spans="1:10" ht="15.75">
      <c r="D19" s="4"/>
      <c r="E19" s="4"/>
      <c r="F19" s="4"/>
      <c r="G19" s="4"/>
      <c r="H19" s="4"/>
      <c r="I19" s="4"/>
    </row>
    <row r="20" spans="1:10" ht="15.75">
      <c r="A20" s="303" t="s">
        <v>35</v>
      </c>
      <c r="B20" s="390"/>
      <c r="C20" s="304"/>
      <c r="D20" s="305" t="s">
        <v>8</v>
      </c>
      <c r="E20" s="306" t="s">
        <v>23</v>
      </c>
      <c r="F20" s="305" t="s">
        <v>47</v>
      </c>
      <c r="G20" s="305" t="s">
        <v>34</v>
      </c>
      <c r="H20" s="305" t="s">
        <v>32</v>
      </c>
      <c r="I20" s="305" t="s">
        <v>34</v>
      </c>
      <c r="J20" s="305" t="s">
        <v>32</v>
      </c>
    </row>
    <row r="21" spans="1:10" ht="15.75">
      <c r="A21" s="308"/>
      <c r="B21" s="392"/>
      <c r="C21" s="309"/>
      <c r="D21" s="310" t="s">
        <v>9</v>
      </c>
      <c r="E21" s="311" t="s">
        <v>9</v>
      </c>
      <c r="F21" s="310" t="s">
        <v>9</v>
      </c>
      <c r="G21" s="310" t="s">
        <v>33</v>
      </c>
      <c r="H21" s="310" t="s">
        <v>9</v>
      </c>
      <c r="I21" s="310" t="s">
        <v>33</v>
      </c>
      <c r="J21" s="310" t="s">
        <v>9</v>
      </c>
    </row>
    <row r="22" spans="1:10" ht="15.75">
      <c r="A22" s="308"/>
      <c r="B22" s="392"/>
      <c r="C22" s="309"/>
      <c r="D22" s="310"/>
      <c r="E22" s="311"/>
      <c r="F22" s="310"/>
      <c r="G22" s="310" t="s">
        <v>507</v>
      </c>
      <c r="H22" s="310"/>
      <c r="I22" s="310" t="s">
        <v>509</v>
      </c>
      <c r="J22" s="310"/>
    </row>
    <row r="23" spans="1:10" ht="15" customHeight="1">
      <c r="A23" s="511" t="s">
        <v>12</v>
      </c>
      <c r="B23" s="512"/>
      <c r="C23" s="313" t="s">
        <v>3</v>
      </c>
      <c r="D23" s="314" t="s">
        <v>7</v>
      </c>
      <c r="E23" s="315" t="s">
        <v>7</v>
      </c>
      <c r="F23" s="314" t="s">
        <v>7</v>
      </c>
      <c r="G23" s="314" t="s">
        <v>7</v>
      </c>
      <c r="H23" s="314" t="s">
        <v>7</v>
      </c>
      <c r="I23" s="314" t="s">
        <v>7</v>
      </c>
      <c r="J23" s="314" t="s">
        <v>7</v>
      </c>
    </row>
    <row r="24" spans="1:10" ht="15" customHeight="1">
      <c r="A24" s="344"/>
      <c r="B24" s="394"/>
      <c r="C24" s="377"/>
      <c r="D24" s="33"/>
      <c r="E24" s="279"/>
      <c r="F24" s="341"/>
      <c r="G24" s="33"/>
      <c r="H24" s="33"/>
      <c r="I24" s="33"/>
      <c r="J24" s="33"/>
    </row>
    <row r="25" spans="1:10" ht="15" customHeight="1">
      <c r="A25" s="345" t="s">
        <v>53</v>
      </c>
      <c r="B25" s="359"/>
      <c r="C25" s="17">
        <v>1</v>
      </c>
      <c r="D25" s="22">
        <v>-269448</v>
      </c>
      <c r="E25" s="317">
        <v>0</v>
      </c>
      <c r="F25" s="356">
        <f>SUM(D25:E25)</f>
        <v>-269448</v>
      </c>
      <c r="G25" s="22">
        <v>268700</v>
      </c>
      <c r="H25" s="22">
        <f>SUM(F25:G25)</f>
        <v>-748</v>
      </c>
      <c r="I25" s="22">
        <v>0</v>
      </c>
      <c r="J25" s="34">
        <f>SUM(H25:I25)</f>
        <v>-748</v>
      </c>
    </row>
    <row r="26" spans="1:10" ht="15" customHeight="1">
      <c r="A26" s="345" t="s">
        <v>85</v>
      </c>
      <c r="B26" s="359"/>
      <c r="C26" s="298">
        <v>2</v>
      </c>
      <c r="D26" s="28">
        <f>-446423-32394</f>
        <v>-478817</v>
      </c>
      <c r="E26" s="280">
        <f>446362+27096</f>
        <v>473458</v>
      </c>
      <c r="F26" s="365">
        <f>SUM(D26:E26)</f>
        <v>-5359</v>
      </c>
      <c r="G26" s="28">
        <v>0</v>
      </c>
      <c r="H26" s="28">
        <f>SUM(F26:G26)</f>
        <v>-5359</v>
      </c>
      <c r="I26" s="28">
        <v>0</v>
      </c>
      <c r="J26" s="289">
        <f>SUM(H26:I26)</f>
        <v>-5359</v>
      </c>
    </row>
    <row r="27" spans="1:10" ht="6.75" customHeight="1">
      <c r="A27" s="402"/>
      <c r="B27" s="360"/>
      <c r="C27" s="17"/>
      <c r="D27" s="22"/>
      <c r="E27" s="9"/>
      <c r="F27" s="356"/>
      <c r="G27" s="22"/>
      <c r="H27" s="22"/>
      <c r="I27" s="22"/>
      <c r="J27" s="34"/>
    </row>
    <row r="28" spans="1:10" ht="16.5" thickBot="1">
      <c r="A28" s="401" t="s">
        <v>5</v>
      </c>
      <c r="B28" s="401"/>
      <c r="C28" s="384"/>
      <c r="D28" s="32">
        <f>SUM(D25:D26)</f>
        <v>-748265</v>
      </c>
      <c r="E28" s="32">
        <f>SUM(E25:E26)</f>
        <v>473458</v>
      </c>
      <c r="F28" s="10">
        <f>SUM(F25:F26)</f>
        <v>-274807</v>
      </c>
      <c r="G28" s="32">
        <f t="shared" ref="G28:H28" si="1">SUM(G25:G26)</f>
        <v>268700</v>
      </c>
      <c r="H28" s="32">
        <f t="shared" si="1"/>
        <v>-6107</v>
      </c>
      <c r="I28" s="32">
        <f>SUM(I25:I26)</f>
        <v>0</v>
      </c>
      <c r="J28" s="32">
        <f>SUM(J25:J26)</f>
        <v>-6107</v>
      </c>
    </row>
    <row r="29" spans="1:10" ht="16.5" thickTop="1">
      <c r="A29" s="13"/>
      <c r="B29" s="13"/>
      <c r="C29" s="5"/>
      <c r="D29" s="13"/>
      <c r="E29" s="13"/>
      <c r="F29" s="13"/>
      <c r="G29" s="13"/>
      <c r="H29" s="13"/>
      <c r="I29" s="13"/>
      <c r="J29" s="13"/>
    </row>
    <row r="30" spans="1:10" ht="15.75">
      <c r="A30" s="13"/>
      <c r="B30" s="13"/>
      <c r="C30" s="5"/>
      <c r="D30" s="13"/>
      <c r="E30" s="13"/>
      <c r="F30" s="13"/>
      <c r="G30" s="13"/>
      <c r="H30" s="13"/>
      <c r="I30" s="13"/>
      <c r="J30" s="13"/>
    </row>
    <row r="31" spans="1:10" ht="15.75">
      <c r="A31" s="6"/>
      <c r="B31" s="6"/>
      <c r="D31" s="13"/>
      <c r="F31" s="13"/>
      <c r="G31" s="13"/>
      <c r="H31" s="13"/>
      <c r="I31" s="13"/>
      <c r="J31" s="13"/>
    </row>
    <row r="32" spans="1:10" ht="31.5" customHeight="1">
      <c r="A32" s="295" t="s">
        <v>3</v>
      </c>
      <c r="B32" s="393" t="s">
        <v>460</v>
      </c>
      <c r="C32" s="386"/>
      <c r="D32" s="387"/>
      <c r="E32" s="387"/>
      <c r="F32" s="387"/>
      <c r="G32" s="387"/>
      <c r="H32" s="387"/>
      <c r="I32" s="387"/>
      <c r="J32" s="388"/>
    </row>
    <row r="33" spans="1:10" ht="9" customHeight="1">
      <c r="A33" s="400"/>
      <c r="B33" s="396"/>
      <c r="C33" s="397"/>
      <c r="D33" s="398"/>
      <c r="E33" s="398"/>
      <c r="F33" s="398"/>
      <c r="G33" s="398"/>
      <c r="H33" s="398"/>
      <c r="I33" s="398"/>
      <c r="J33" s="399"/>
    </row>
    <row r="34" spans="1:10">
      <c r="A34" s="22"/>
      <c r="B34" s="18" t="s">
        <v>510</v>
      </c>
      <c r="C34" s="5"/>
      <c r="D34" s="9"/>
      <c r="E34" s="9"/>
      <c r="F34" s="9"/>
      <c r="G34" s="9"/>
      <c r="H34" s="9"/>
      <c r="I34" s="9"/>
      <c r="J34" s="317"/>
    </row>
    <row r="35" spans="1:10">
      <c r="A35" s="22"/>
      <c r="B35" s="18" t="s">
        <v>511</v>
      </c>
      <c r="C35" s="5"/>
      <c r="D35" s="9"/>
      <c r="E35" s="9"/>
      <c r="F35" s="9"/>
      <c r="G35" s="9"/>
      <c r="H35" s="9"/>
      <c r="I35" s="9"/>
      <c r="J35" s="317"/>
    </row>
    <row r="36" spans="1:10" ht="7.5" customHeight="1">
      <c r="A36" s="22"/>
      <c r="B36" s="18"/>
      <c r="C36" s="5"/>
      <c r="D36" s="9"/>
      <c r="E36" s="9"/>
      <c r="F36" s="9"/>
      <c r="G36" s="9"/>
      <c r="H36" s="9"/>
      <c r="I36" s="9"/>
      <c r="J36" s="317"/>
    </row>
    <row r="37" spans="1:10">
      <c r="A37" s="362" t="s">
        <v>403</v>
      </c>
      <c r="B37" s="345" t="s">
        <v>458</v>
      </c>
      <c r="C37" s="5"/>
      <c r="D37" s="9"/>
      <c r="E37" s="9"/>
      <c r="F37" s="9"/>
      <c r="G37" s="9"/>
      <c r="H37" s="9"/>
      <c r="I37" s="9"/>
      <c r="J37" s="317"/>
    </row>
    <row r="38" spans="1:10">
      <c r="A38" s="362" t="s">
        <v>404</v>
      </c>
      <c r="B38" s="345" t="s">
        <v>459</v>
      </c>
      <c r="C38" s="5"/>
      <c r="D38" s="9"/>
      <c r="E38" s="9"/>
      <c r="F38" s="9"/>
      <c r="G38" s="9"/>
      <c r="H38" s="9"/>
      <c r="I38" s="9"/>
      <c r="J38" s="317"/>
    </row>
    <row r="39" spans="1:10" ht="15.75">
      <c r="A39" s="301"/>
      <c r="B39" s="395"/>
      <c r="C39" s="342"/>
      <c r="D39" s="7"/>
      <c r="E39" s="7"/>
      <c r="F39" s="7"/>
      <c r="G39" s="7"/>
      <c r="H39" s="7"/>
      <c r="I39" s="7"/>
      <c r="J39" s="280"/>
    </row>
    <row r="56" spans="2:2">
      <c r="B56" s="469"/>
    </row>
  </sheetData>
  <mergeCells count="1">
    <mergeCell ref="A23:B23"/>
  </mergeCells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>
    <oddFooter>&amp;C&amp;"Arial,Bold"&amp;12&amp;A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view="pageBreakPreview" topLeftCell="B1" zoomScale="60" zoomScaleNormal="75" workbookViewId="0">
      <selection activeCell="B1" sqref="B1:P84"/>
    </sheetView>
  </sheetViews>
  <sheetFormatPr defaultColWidth="9.140625" defaultRowHeight="15"/>
  <cols>
    <col min="1" max="1" width="21.85546875" style="46" hidden="1" customWidth="1"/>
    <col min="2" max="2" width="25.85546875" style="48" customWidth="1"/>
    <col min="3" max="3" width="82.140625" style="48" customWidth="1"/>
    <col min="4" max="4" width="15.5703125" style="49" hidden="1" customWidth="1"/>
    <col min="5" max="5" width="13" style="50" customWidth="1"/>
    <col min="6" max="7" width="9.85546875" style="50" customWidth="1"/>
    <col min="8" max="8" width="11.7109375" style="50" customWidth="1"/>
    <col min="9" max="9" width="1.42578125" style="51" customWidth="1"/>
    <col min="10" max="10" width="13.28515625" style="50" hidden="1" customWidth="1"/>
    <col min="11" max="11" width="19.42578125" style="49" hidden="1" customWidth="1"/>
    <col min="12" max="12" width="21.140625" style="49" hidden="1" customWidth="1"/>
    <col min="13" max="13" width="18.7109375" style="50" hidden="1" customWidth="1"/>
    <col min="14" max="14" width="11.5703125" style="52" hidden="1" customWidth="1"/>
    <col min="15" max="15" width="15.28515625" style="53" hidden="1" customWidth="1"/>
    <col min="16" max="16" width="11.5703125" style="442" bestFit="1" customWidth="1"/>
    <col min="17" max="17" width="13.28515625" style="48" customWidth="1"/>
    <col min="18" max="16384" width="9.140625" style="48"/>
  </cols>
  <sheetData>
    <row r="1" spans="1:16" ht="15" customHeight="1">
      <c r="B1" s="47" t="s">
        <v>128</v>
      </c>
    </row>
    <row r="2" spans="1:16" ht="15" customHeight="1" thickBot="1">
      <c r="A2" s="54"/>
      <c r="H2" s="55"/>
    </row>
    <row r="3" spans="1:16" ht="48" customHeight="1" thickBot="1">
      <c r="A3" s="56"/>
      <c r="B3" s="57"/>
      <c r="C3" s="57"/>
      <c r="D3" s="521" t="s">
        <v>129</v>
      </c>
      <c r="E3" s="524" t="s">
        <v>77</v>
      </c>
      <c r="F3" s="525"/>
      <c r="G3" s="526"/>
      <c r="H3" s="58" t="s">
        <v>0</v>
      </c>
      <c r="I3" s="59"/>
      <c r="J3" s="527" t="s">
        <v>497</v>
      </c>
      <c r="K3" s="60"/>
      <c r="L3" s="60"/>
      <c r="M3" s="527" t="s">
        <v>130</v>
      </c>
      <c r="N3" s="506" t="s">
        <v>131</v>
      </c>
      <c r="O3" s="527" t="s">
        <v>132</v>
      </c>
      <c r="P3" s="443" t="s">
        <v>131</v>
      </c>
    </row>
    <row r="4" spans="1:16" ht="16.5" thickBot="1">
      <c r="A4" s="62" t="s">
        <v>71</v>
      </c>
      <c r="B4" s="63" t="s">
        <v>133</v>
      </c>
      <c r="C4" s="63" t="s">
        <v>72</v>
      </c>
      <c r="D4" s="522"/>
      <c r="E4" s="64" t="s">
        <v>134</v>
      </c>
      <c r="F4" s="65" t="s">
        <v>135</v>
      </c>
      <c r="G4" s="65" t="s">
        <v>136</v>
      </c>
      <c r="H4" s="59"/>
      <c r="I4" s="59"/>
      <c r="J4" s="528"/>
      <c r="K4" s="66" t="s">
        <v>137</v>
      </c>
      <c r="L4" s="66" t="s">
        <v>138</v>
      </c>
      <c r="M4" s="528"/>
      <c r="N4" s="507"/>
      <c r="O4" s="528"/>
      <c r="P4" s="444"/>
    </row>
    <row r="5" spans="1:16" ht="16.5" thickBot="1">
      <c r="A5" s="68"/>
      <c r="B5" s="69"/>
      <c r="C5" s="69"/>
      <c r="D5" s="523"/>
      <c r="E5" s="64" t="s">
        <v>7</v>
      </c>
      <c r="F5" s="70" t="s">
        <v>7</v>
      </c>
      <c r="G5" s="70" t="s">
        <v>7</v>
      </c>
      <c r="H5" s="70" t="s">
        <v>7</v>
      </c>
      <c r="I5" s="71"/>
      <c r="J5" s="70" t="s">
        <v>7</v>
      </c>
      <c r="K5" s="72"/>
      <c r="L5" s="72"/>
      <c r="M5" s="70" t="s">
        <v>7</v>
      </c>
      <c r="N5" s="70"/>
      <c r="O5" s="73" t="s">
        <v>7</v>
      </c>
      <c r="P5" s="445"/>
    </row>
    <row r="6" spans="1:16" ht="15" hidden="1" customHeight="1">
      <c r="A6" s="74"/>
      <c r="B6" s="75" t="s">
        <v>20</v>
      </c>
      <c r="C6" s="76"/>
      <c r="D6" s="77"/>
      <c r="E6" s="78"/>
      <c r="F6" s="78"/>
      <c r="G6" s="78"/>
      <c r="H6" s="79"/>
      <c r="I6" s="79"/>
      <c r="J6" s="79"/>
      <c r="K6" s="80"/>
      <c r="L6" s="80"/>
      <c r="M6" s="81"/>
      <c r="N6" s="79"/>
      <c r="O6" s="82"/>
      <c r="P6" s="446"/>
    </row>
    <row r="7" spans="1:16" ht="15" hidden="1" customHeight="1">
      <c r="A7" s="74" t="s">
        <v>139</v>
      </c>
      <c r="B7" s="75"/>
      <c r="C7" s="76"/>
      <c r="D7" s="77"/>
      <c r="E7" s="78">
        <v>175600</v>
      </c>
      <c r="F7" s="78"/>
      <c r="G7" s="78"/>
      <c r="H7" s="81">
        <f t="shared" ref="H7:H13" si="0">SUM(E7:G7)</f>
        <v>175600</v>
      </c>
      <c r="I7" s="79"/>
      <c r="J7" s="79"/>
      <c r="K7" s="80"/>
      <c r="L7" s="80"/>
      <c r="M7" s="81"/>
      <c r="N7" s="79"/>
      <c r="O7" s="82"/>
      <c r="P7" s="446"/>
    </row>
    <row r="8" spans="1:16" ht="15" hidden="1" customHeight="1">
      <c r="A8" s="74" t="s">
        <v>78</v>
      </c>
      <c r="B8" s="75"/>
      <c r="C8" s="76"/>
      <c r="D8" s="77"/>
      <c r="E8" s="78">
        <v>80500</v>
      </c>
      <c r="F8" s="78"/>
      <c r="G8" s="78"/>
      <c r="H8" s="81">
        <f t="shared" si="0"/>
        <v>80500</v>
      </c>
      <c r="I8" s="79"/>
      <c r="J8" s="79"/>
      <c r="K8" s="80"/>
      <c r="L8" s="80"/>
      <c r="M8" s="81"/>
      <c r="N8" s="79"/>
      <c r="O8" s="82"/>
      <c r="P8" s="446"/>
    </row>
    <row r="9" spans="1:16" ht="15" hidden="1" customHeight="1">
      <c r="A9" s="74" t="s">
        <v>140</v>
      </c>
      <c r="B9" s="75"/>
      <c r="C9" s="76"/>
      <c r="D9" s="77"/>
      <c r="E9" s="78">
        <v>444</v>
      </c>
      <c r="F9" s="78"/>
      <c r="G9" s="78"/>
      <c r="H9" s="81">
        <f t="shared" si="0"/>
        <v>444</v>
      </c>
      <c r="I9" s="79"/>
      <c r="J9" s="79"/>
      <c r="K9" s="80"/>
      <c r="L9" s="80"/>
      <c r="M9" s="81"/>
      <c r="N9" s="79"/>
      <c r="O9" s="82"/>
      <c r="P9" s="446"/>
    </row>
    <row r="10" spans="1:16" ht="15" hidden="1" customHeight="1">
      <c r="A10" s="74" t="s">
        <v>141</v>
      </c>
      <c r="B10" s="75"/>
      <c r="C10" s="76"/>
      <c r="D10" s="77"/>
      <c r="E10" s="78">
        <v>528</v>
      </c>
      <c r="F10" s="78"/>
      <c r="G10" s="78"/>
      <c r="H10" s="81">
        <f t="shared" si="0"/>
        <v>528</v>
      </c>
      <c r="I10" s="79"/>
      <c r="J10" s="79"/>
      <c r="K10" s="80"/>
      <c r="L10" s="80"/>
      <c r="M10" s="81"/>
      <c r="N10" s="79"/>
      <c r="O10" s="82"/>
      <c r="P10" s="446"/>
    </row>
    <row r="11" spans="1:16" ht="15" hidden="1" customHeight="1">
      <c r="A11" s="74" t="s">
        <v>142</v>
      </c>
      <c r="B11" s="75"/>
      <c r="C11" s="76"/>
      <c r="D11" s="77"/>
      <c r="E11" s="78">
        <v>3664</v>
      </c>
      <c r="F11" s="78"/>
      <c r="G11" s="78"/>
      <c r="H11" s="81">
        <f t="shared" si="0"/>
        <v>3664</v>
      </c>
      <c r="I11" s="79"/>
      <c r="J11" s="79"/>
      <c r="K11" s="80"/>
      <c r="L11" s="80"/>
      <c r="M11" s="81"/>
      <c r="N11" s="79"/>
      <c r="O11" s="82"/>
      <c r="P11" s="446"/>
    </row>
    <row r="12" spans="1:16" ht="15" hidden="1" customHeight="1">
      <c r="A12" s="74" t="s">
        <v>143</v>
      </c>
      <c r="B12" s="75"/>
      <c r="C12" s="76"/>
      <c r="D12" s="77"/>
      <c r="E12" s="78">
        <v>5814</v>
      </c>
      <c r="F12" s="78"/>
      <c r="G12" s="78"/>
      <c r="H12" s="81">
        <f t="shared" si="0"/>
        <v>5814</v>
      </c>
      <c r="I12" s="79"/>
      <c r="J12" s="79"/>
      <c r="K12" s="80"/>
      <c r="L12" s="80"/>
      <c r="M12" s="81"/>
      <c r="N12" s="79"/>
      <c r="O12" s="82"/>
      <c r="P12" s="446"/>
    </row>
    <row r="13" spans="1:16" ht="15" hidden="1" customHeight="1">
      <c r="A13" s="74" t="s">
        <v>144</v>
      </c>
      <c r="B13" s="75"/>
      <c r="C13" s="76"/>
      <c r="D13" s="77"/>
      <c r="E13" s="78">
        <v>2199</v>
      </c>
      <c r="F13" s="78"/>
      <c r="G13" s="78"/>
      <c r="H13" s="81">
        <f t="shared" si="0"/>
        <v>2199</v>
      </c>
      <c r="I13" s="79"/>
      <c r="J13" s="79"/>
      <c r="K13" s="80"/>
      <c r="L13" s="80"/>
      <c r="M13" s="81"/>
      <c r="N13" s="79"/>
      <c r="O13" s="82"/>
      <c r="P13" s="446"/>
    </row>
    <row r="14" spans="1:16" ht="30.75" hidden="1" thickBot="1">
      <c r="A14" s="74"/>
      <c r="B14" s="76"/>
      <c r="C14" s="466" t="s">
        <v>505</v>
      </c>
      <c r="D14" s="77" t="s">
        <v>145</v>
      </c>
      <c r="E14" s="83">
        <f>SUM(E7:E13)-49</f>
        <v>268700</v>
      </c>
      <c r="F14" s="78">
        <f>SUM(F7:F13)</f>
        <v>0</v>
      </c>
      <c r="G14" s="78">
        <f>SUM(G7:G13)</f>
        <v>0</v>
      </c>
      <c r="H14" s="81">
        <f>SUM(H7:H13)-49</f>
        <v>268700</v>
      </c>
      <c r="I14" s="81"/>
      <c r="J14" s="81">
        <v>269700</v>
      </c>
      <c r="K14" s="80"/>
      <c r="L14" s="80"/>
      <c r="M14" s="81">
        <v>153400</v>
      </c>
      <c r="N14" s="79" t="s">
        <v>146</v>
      </c>
      <c r="O14" s="82"/>
      <c r="P14" s="446" t="s">
        <v>158</v>
      </c>
    </row>
    <row r="15" spans="1:16" ht="16.5" hidden="1" thickBot="1">
      <c r="A15" s="84"/>
      <c r="B15" s="85"/>
      <c r="C15" s="85"/>
      <c r="D15" s="86"/>
      <c r="E15" s="87">
        <f>E14</f>
        <v>268700</v>
      </c>
      <c r="F15" s="87">
        <f>F14</f>
        <v>0</v>
      </c>
      <c r="G15" s="87">
        <f>G14</f>
        <v>0</v>
      </c>
      <c r="H15" s="87">
        <f>H14</f>
        <v>268700</v>
      </c>
      <c r="I15" s="88"/>
      <c r="J15" s="87">
        <f>J14</f>
        <v>269700</v>
      </c>
      <c r="K15" s="89"/>
      <c r="L15" s="89"/>
      <c r="M15" s="90">
        <f>SUM(M7:M14)</f>
        <v>153400</v>
      </c>
      <c r="N15" s="89"/>
      <c r="O15" s="91"/>
      <c r="P15" s="447"/>
    </row>
    <row r="16" spans="1:16" ht="15" hidden="1" customHeight="1">
      <c r="A16" s="186"/>
      <c r="B16" s="57" t="s">
        <v>14</v>
      </c>
      <c r="C16" s="106"/>
      <c r="D16" s="107"/>
      <c r="E16" s="108"/>
      <c r="F16" s="108"/>
      <c r="G16" s="108"/>
      <c r="H16" s="92"/>
      <c r="I16" s="92"/>
      <c r="J16" s="109"/>
      <c r="K16" s="80"/>
      <c r="L16" s="80"/>
      <c r="M16" s="110"/>
      <c r="N16" s="111"/>
      <c r="O16" s="112"/>
      <c r="P16" s="448"/>
    </row>
    <row r="17" spans="1:17" s="118" customFormat="1" ht="45" hidden="1">
      <c r="A17" s="187" t="s">
        <v>164</v>
      </c>
      <c r="B17" s="148" t="s">
        <v>165</v>
      </c>
      <c r="C17" s="148" t="s">
        <v>166</v>
      </c>
      <c r="D17" s="149" t="s">
        <v>167</v>
      </c>
      <c r="E17" s="158">
        <v>19600</v>
      </c>
      <c r="F17" s="158">
        <v>0</v>
      </c>
      <c r="G17" s="158">
        <v>0</v>
      </c>
      <c r="H17" s="151">
        <f t="shared" ref="H17:H31" si="1">SUM(E17:G17)</f>
        <v>19600</v>
      </c>
      <c r="I17" s="114"/>
      <c r="J17" s="114">
        <v>14600</v>
      </c>
      <c r="K17" s="115" t="s">
        <v>168</v>
      </c>
      <c r="L17" s="115" t="s">
        <v>169</v>
      </c>
      <c r="M17" s="159">
        <v>0</v>
      </c>
      <c r="N17" s="117" t="s">
        <v>158</v>
      </c>
      <c r="O17" s="103" t="s">
        <v>54</v>
      </c>
      <c r="P17" s="117" t="s">
        <v>158</v>
      </c>
      <c r="Q17" s="441"/>
    </row>
    <row r="18" spans="1:17" s="104" customFormat="1" ht="30" hidden="1">
      <c r="A18" s="188" t="s">
        <v>170</v>
      </c>
      <c r="B18" s="152" t="s">
        <v>62</v>
      </c>
      <c r="C18" s="152" t="s">
        <v>171</v>
      </c>
      <c r="D18" s="153" t="s">
        <v>167</v>
      </c>
      <c r="E18" s="154">
        <f>8479+21</f>
        <v>8500</v>
      </c>
      <c r="F18" s="154"/>
      <c r="G18" s="154"/>
      <c r="H18" s="160">
        <f t="shared" si="1"/>
        <v>8500</v>
      </c>
      <c r="I18" s="99"/>
      <c r="J18" s="160">
        <v>8500</v>
      </c>
      <c r="K18" s="101" t="s">
        <v>168</v>
      </c>
      <c r="L18" s="101" t="s">
        <v>169</v>
      </c>
      <c r="M18" s="157">
        <v>0</v>
      </c>
      <c r="N18" s="103" t="s">
        <v>158</v>
      </c>
      <c r="O18" s="103" t="s">
        <v>172</v>
      </c>
      <c r="P18" s="456" t="s">
        <v>158</v>
      </c>
      <c r="Q18" s="441"/>
    </row>
    <row r="19" spans="1:17" s="118" customFormat="1" hidden="1">
      <c r="A19" s="113" t="s">
        <v>79</v>
      </c>
      <c r="B19" s="97"/>
      <c r="C19" s="97"/>
      <c r="D19" s="98"/>
      <c r="E19" s="114">
        <f>24900</f>
        <v>24900</v>
      </c>
      <c r="F19" s="114"/>
      <c r="G19" s="114"/>
      <c r="H19" s="100">
        <f t="shared" si="1"/>
        <v>24900</v>
      </c>
      <c r="I19" s="114"/>
      <c r="J19" s="114">
        <v>22200</v>
      </c>
      <c r="K19" s="115"/>
      <c r="L19" s="115"/>
      <c r="M19" s="116"/>
      <c r="N19" s="117"/>
      <c r="O19" s="103"/>
      <c r="P19" s="449"/>
    </row>
    <row r="20" spans="1:17" s="118" customFormat="1" hidden="1">
      <c r="A20" s="113" t="s">
        <v>73</v>
      </c>
      <c r="B20" s="97"/>
      <c r="C20" s="97"/>
      <c r="D20" s="98"/>
      <c r="E20" s="114">
        <v>18500</v>
      </c>
      <c r="F20" s="114"/>
      <c r="G20" s="114"/>
      <c r="H20" s="100">
        <f t="shared" si="1"/>
        <v>18500</v>
      </c>
      <c r="I20" s="114"/>
      <c r="J20" s="114">
        <v>20100</v>
      </c>
      <c r="K20" s="115"/>
      <c r="L20" s="115"/>
      <c r="M20" s="116"/>
      <c r="N20" s="117"/>
      <c r="O20" s="103"/>
      <c r="P20" s="449"/>
    </row>
    <row r="21" spans="1:17" s="104" customFormat="1" ht="30" hidden="1">
      <c r="A21" s="190"/>
      <c r="B21" s="148" t="s">
        <v>80</v>
      </c>
      <c r="C21" s="148" t="s">
        <v>173</v>
      </c>
      <c r="D21" s="149" t="s">
        <v>167</v>
      </c>
      <c r="E21" s="150">
        <f>SUM(E19:E20)</f>
        <v>43400</v>
      </c>
      <c r="F21" s="150">
        <f>SUM(F19:F20)</f>
        <v>0</v>
      </c>
      <c r="G21" s="150">
        <f>SUM(G19:G20)</f>
        <v>0</v>
      </c>
      <c r="H21" s="164">
        <f>SUM(H19:H20)</f>
        <v>43400</v>
      </c>
      <c r="I21" s="99"/>
      <c r="J21" s="160">
        <f>SUM(J19:J20)</f>
        <v>42300</v>
      </c>
      <c r="K21" s="101" t="s">
        <v>168</v>
      </c>
      <c r="L21" s="101" t="s">
        <v>169</v>
      </c>
      <c r="M21" s="156">
        <f>67500+24400</f>
        <v>91900</v>
      </c>
      <c r="N21" s="103" t="s">
        <v>174</v>
      </c>
      <c r="O21" s="103" t="s">
        <v>167</v>
      </c>
      <c r="P21" s="470" t="s">
        <v>158</v>
      </c>
    </row>
    <row r="22" spans="1:17" s="104" customFormat="1" ht="30" hidden="1">
      <c r="A22" s="188" t="s">
        <v>81</v>
      </c>
      <c r="B22" s="152" t="s">
        <v>175</v>
      </c>
      <c r="C22" s="152" t="s">
        <v>176</v>
      </c>
      <c r="D22" s="153" t="s">
        <v>145</v>
      </c>
      <c r="E22" s="154">
        <v>15900</v>
      </c>
      <c r="F22" s="154"/>
      <c r="G22" s="154"/>
      <c r="H22" s="160">
        <f>SUM(E22:G22)</f>
        <v>15900</v>
      </c>
      <c r="I22" s="99"/>
      <c r="J22" s="160">
        <v>15900</v>
      </c>
      <c r="K22" s="101"/>
      <c r="L22" s="101" t="s">
        <v>177</v>
      </c>
      <c r="M22" s="157">
        <v>18400</v>
      </c>
      <c r="N22" s="103" t="s">
        <v>146</v>
      </c>
      <c r="O22" s="103" t="s">
        <v>167</v>
      </c>
      <c r="P22" s="450" t="s">
        <v>158</v>
      </c>
    </row>
    <row r="23" spans="1:17" s="104" customFormat="1" ht="30" hidden="1">
      <c r="A23" s="188" t="s">
        <v>178</v>
      </c>
      <c r="B23" s="152" t="s">
        <v>179</v>
      </c>
      <c r="C23" s="152" t="s">
        <v>180</v>
      </c>
      <c r="D23" s="153" t="s">
        <v>145</v>
      </c>
      <c r="E23" s="154">
        <v>175000</v>
      </c>
      <c r="F23" s="154"/>
      <c r="G23" s="154"/>
      <c r="H23" s="160">
        <f t="shared" si="1"/>
        <v>175000</v>
      </c>
      <c r="I23" s="99"/>
      <c r="J23" s="160">
        <v>175000</v>
      </c>
      <c r="K23" s="101"/>
      <c r="L23" s="101" t="s">
        <v>181</v>
      </c>
      <c r="M23" s="157">
        <v>0</v>
      </c>
      <c r="N23" s="103" t="s">
        <v>158</v>
      </c>
      <c r="O23" s="103" t="s">
        <v>182</v>
      </c>
      <c r="P23" s="117" t="s">
        <v>158</v>
      </c>
      <c r="Q23" s="441"/>
    </row>
    <row r="24" spans="1:17" s="104" customFormat="1" ht="30" hidden="1">
      <c r="A24" s="188" t="s">
        <v>183</v>
      </c>
      <c r="B24" s="152" t="s">
        <v>184</v>
      </c>
      <c r="C24" s="152" t="s">
        <v>185</v>
      </c>
      <c r="D24" s="153" t="s">
        <v>145</v>
      </c>
      <c r="E24" s="154">
        <f>14948-48</f>
        <v>14900</v>
      </c>
      <c r="F24" s="154"/>
      <c r="G24" s="154"/>
      <c r="H24" s="160">
        <f t="shared" si="1"/>
        <v>14900</v>
      </c>
      <c r="I24" s="99"/>
      <c r="J24" s="160">
        <v>14900</v>
      </c>
      <c r="K24" s="101" t="s">
        <v>168</v>
      </c>
      <c r="L24" s="101" t="s">
        <v>169</v>
      </c>
      <c r="M24" s="182">
        <v>0</v>
      </c>
      <c r="N24" s="103" t="s">
        <v>158</v>
      </c>
      <c r="O24" s="103" t="s">
        <v>54</v>
      </c>
      <c r="P24" s="457" t="s">
        <v>158</v>
      </c>
      <c r="Q24" s="441"/>
    </row>
    <row r="25" spans="1:17" s="118" customFormat="1" ht="30" hidden="1">
      <c r="A25" s="189" t="s">
        <v>186</v>
      </c>
      <c r="B25" s="161" t="s">
        <v>187</v>
      </c>
      <c r="C25" s="152" t="s">
        <v>188</v>
      </c>
      <c r="D25" s="165" t="s">
        <v>167</v>
      </c>
      <c r="E25" s="162">
        <f>141800-4153.12-47</f>
        <v>137599.88</v>
      </c>
      <c r="F25" s="162"/>
      <c r="G25" s="162"/>
      <c r="H25" s="155">
        <f t="shared" si="1"/>
        <v>137599.88</v>
      </c>
      <c r="I25" s="114"/>
      <c r="J25" s="155">
        <v>137600</v>
      </c>
      <c r="K25" s="115" t="s">
        <v>168</v>
      </c>
      <c r="L25" s="115" t="s">
        <v>169</v>
      </c>
      <c r="M25" s="163">
        <v>0</v>
      </c>
      <c r="N25" s="184" t="s">
        <v>158</v>
      </c>
      <c r="O25" s="185" t="s">
        <v>189</v>
      </c>
      <c r="P25" s="184" t="s">
        <v>158</v>
      </c>
      <c r="Q25" s="441"/>
    </row>
    <row r="26" spans="1:17" ht="30" hidden="1">
      <c r="A26" s="191" t="s">
        <v>190</v>
      </c>
      <c r="B26" s="166" t="s">
        <v>187</v>
      </c>
      <c r="C26" s="167" t="s">
        <v>191</v>
      </c>
      <c r="D26" s="165" t="s">
        <v>167</v>
      </c>
      <c r="E26" s="168">
        <f>-137647+47</f>
        <v>-137600</v>
      </c>
      <c r="F26" s="168"/>
      <c r="G26" s="168"/>
      <c r="H26" s="169">
        <f t="shared" si="1"/>
        <v>-137600</v>
      </c>
      <c r="I26" s="93"/>
      <c r="J26" s="169">
        <v>-137600</v>
      </c>
      <c r="K26" s="80" t="s">
        <v>168</v>
      </c>
      <c r="L26" s="80" t="s">
        <v>169</v>
      </c>
      <c r="M26" s="183">
        <v>0</v>
      </c>
      <c r="N26" s="94" t="s">
        <v>158</v>
      </c>
      <c r="O26" s="95" t="s">
        <v>189</v>
      </c>
      <c r="P26" s="193" t="s">
        <v>158</v>
      </c>
      <c r="Q26" s="441"/>
    </row>
    <row r="27" spans="1:17" s="118" customFormat="1" ht="30" hidden="1">
      <c r="A27" s="189" t="s">
        <v>192</v>
      </c>
      <c r="B27" s="161" t="s">
        <v>124</v>
      </c>
      <c r="C27" s="152" t="s">
        <v>193</v>
      </c>
      <c r="D27" s="165" t="s">
        <v>145</v>
      </c>
      <c r="E27" s="162">
        <v>20200</v>
      </c>
      <c r="F27" s="162"/>
      <c r="G27" s="162"/>
      <c r="H27" s="155">
        <f t="shared" si="1"/>
        <v>20200</v>
      </c>
      <c r="I27" s="114"/>
      <c r="J27" s="155">
        <v>20200</v>
      </c>
      <c r="K27" s="115"/>
      <c r="L27" s="115" t="s">
        <v>177</v>
      </c>
      <c r="M27" s="163">
        <v>0</v>
      </c>
      <c r="N27" s="117" t="s">
        <v>158</v>
      </c>
      <c r="O27" s="103" t="s">
        <v>194</v>
      </c>
      <c r="P27" s="117" t="s">
        <v>158</v>
      </c>
      <c r="Q27" s="441"/>
    </row>
    <row r="28" spans="1:17" s="104" customFormat="1" ht="30" hidden="1">
      <c r="A28" s="188" t="s">
        <v>195</v>
      </c>
      <c r="B28" s="152" t="s">
        <v>196</v>
      </c>
      <c r="C28" s="152" t="s">
        <v>197</v>
      </c>
      <c r="D28" s="153" t="s">
        <v>145</v>
      </c>
      <c r="E28" s="154">
        <f>2023-23</f>
        <v>2000</v>
      </c>
      <c r="F28" s="154"/>
      <c r="G28" s="154"/>
      <c r="H28" s="155">
        <f t="shared" si="1"/>
        <v>2000</v>
      </c>
      <c r="I28" s="99"/>
      <c r="J28" s="160">
        <v>2000</v>
      </c>
      <c r="K28" s="101"/>
      <c r="L28" s="101" t="s">
        <v>177</v>
      </c>
      <c r="M28" s="157">
        <v>0</v>
      </c>
      <c r="N28" s="103" t="s">
        <v>146</v>
      </c>
      <c r="O28" s="103" t="s">
        <v>189</v>
      </c>
      <c r="P28" s="450" t="s">
        <v>158</v>
      </c>
    </row>
    <row r="29" spans="1:17" s="104" customFormat="1" ht="30.75" hidden="1">
      <c r="A29" s="188" t="s">
        <v>198</v>
      </c>
      <c r="B29" s="152" t="s">
        <v>199</v>
      </c>
      <c r="C29" s="152" t="s">
        <v>200</v>
      </c>
      <c r="D29" s="153" t="s">
        <v>145</v>
      </c>
      <c r="E29" s="154">
        <f>90432-32</f>
        <v>90400</v>
      </c>
      <c r="F29" s="154"/>
      <c r="G29" s="154"/>
      <c r="H29" s="160">
        <f t="shared" si="1"/>
        <v>90400</v>
      </c>
      <c r="I29" s="99"/>
      <c r="J29" s="160">
        <v>88300</v>
      </c>
      <c r="K29" s="101" t="s">
        <v>201</v>
      </c>
      <c r="L29" s="101" t="s">
        <v>152</v>
      </c>
      <c r="M29" s="157">
        <v>0</v>
      </c>
      <c r="N29" s="103" t="s">
        <v>158</v>
      </c>
      <c r="O29" s="103" t="s">
        <v>167</v>
      </c>
      <c r="P29" s="117" t="s">
        <v>158</v>
      </c>
      <c r="Q29" s="441"/>
    </row>
    <row r="30" spans="1:17" s="104" customFormat="1" ht="30" hidden="1">
      <c r="A30" s="188" t="s">
        <v>202</v>
      </c>
      <c r="B30" s="152" t="s">
        <v>203</v>
      </c>
      <c r="C30" s="152" t="s">
        <v>204</v>
      </c>
      <c r="D30" s="153" t="s">
        <v>145</v>
      </c>
      <c r="E30" s="154">
        <v>1800</v>
      </c>
      <c r="F30" s="154"/>
      <c r="G30" s="154"/>
      <c r="H30" s="160">
        <f t="shared" si="1"/>
        <v>1800</v>
      </c>
      <c r="I30" s="99"/>
      <c r="J30" s="160">
        <v>1800</v>
      </c>
      <c r="K30" s="101"/>
      <c r="L30" s="101" t="s">
        <v>177</v>
      </c>
      <c r="M30" s="157">
        <v>0</v>
      </c>
      <c r="N30" s="103" t="s">
        <v>158</v>
      </c>
      <c r="O30" s="103" t="s">
        <v>167</v>
      </c>
      <c r="P30" s="456" t="s">
        <v>158</v>
      </c>
      <c r="Q30" s="441"/>
    </row>
    <row r="31" spans="1:17" s="104" customFormat="1" ht="30.75" hidden="1" thickBot="1">
      <c r="A31" s="188" t="s">
        <v>205</v>
      </c>
      <c r="B31" s="152" t="s">
        <v>42</v>
      </c>
      <c r="C31" s="152" t="s">
        <v>206</v>
      </c>
      <c r="D31" s="181" t="s">
        <v>167</v>
      </c>
      <c r="E31" s="99"/>
      <c r="F31" s="99">
        <v>29000</v>
      </c>
      <c r="G31" s="99"/>
      <c r="H31" s="119">
        <f t="shared" si="1"/>
        <v>29000</v>
      </c>
      <c r="I31" s="99"/>
      <c r="J31" s="99">
        <v>29000</v>
      </c>
      <c r="K31" s="101" t="s">
        <v>207</v>
      </c>
      <c r="L31" s="101" t="s">
        <v>169</v>
      </c>
      <c r="M31" s="102">
        <v>33100</v>
      </c>
      <c r="N31" s="103" t="s">
        <v>158</v>
      </c>
      <c r="O31" s="103" t="s">
        <v>208</v>
      </c>
      <c r="P31" s="117" t="s">
        <v>158</v>
      </c>
      <c r="Q31" s="441"/>
    </row>
    <row r="32" spans="1:17" ht="16.5" hidden="1" thickBot="1">
      <c r="A32" s="105"/>
      <c r="B32" s="85"/>
      <c r="C32" s="85"/>
      <c r="D32" s="86"/>
      <c r="E32" s="87">
        <f>SUM(E17:E31)-E19-E20</f>
        <v>391699.88</v>
      </c>
      <c r="F32" s="87">
        <f>SUM(F17:F31)-F19-F20</f>
        <v>29000</v>
      </c>
      <c r="G32" s="87">
        <f>SUM(G17:G31)-G19-G20</f>
        <v>0</v>
      </c>
      <c r="H32" s="87">
        <f>SUM(H17:H31)-H19-H20</f>
        <v>420699.88</v>
      </c>
      <c r="I32" s="88"/>
      <c r="J32" s="87">
        <f>SUM(J17:J31)-J19-J20</f>
        <v>412500</v>
      </c>
      <c r="K32" s="89"/>
      <c r="L32" s="89"/>
      <c r="M32" s="90">
        <f>SUM(M17:M31)-M19-M20</f>
        <v>143400</v>
      </c>
      <c r="N32" s="89"/>
      <c r="O32" s="91"/>
      <c r="P32" s="447"/>
    </row>
    <row r="33" spans="1:17" ht="18" hidden="1" customHeight="1">
      <c r="A33" s="74"/>
      <c r="B33" s="63" t="s">
        <v>11</v>
      </c>
      <c r="C33" s="76"/>
      <c r="D33" s="77"/>
      <c r="E33" s="78"/>
      <c r="F33" s="78"/>
      <c r="G33" s="78"/>
      <c r="H33" s="92"/>
      <c r="I33" s="92"/>
      <c r="J33" s="92"/>
      <c r="K33" s="80"/>
      <c r="L33" s="80"/>
      <c r="M33" s="81"/>
      <c r="N33" s="79"/>
      <c r="O33" s="82"/>
      <c r="P33" s="448"/>
    </row>
    <row r="34" spans="1:17" s="505" customFormat="1" ht="45" hidden="1" customHeight="1">
      <c r="A34" s="440" t="s">
        <v>147</v>
      </c>
      <c r="B34" s="496" t="s">
        <v>499</v>
      </c>
      <c r="C34" s="496" t="s">
        <v>150</v>
      </c>
      <c r="D34" s="497" t="s">
        <v>145</v>
      </c>
      <c r="E34" s="498">
        <v>31000</v>
      </c>
      <c r="F34" s="499"/>
      <c r="G34" s="499"/>
      <c r="H34" s="500">
        <f t="shared" ref="H34:H35" si="2">SUM(E34:G34)</f>
        <v>31000</v>
      </c>
      <c r="I34" s="501"/>
      <c r="J34" s="502">
        <v>31000</v>
      </c>
      <c r="K34" s="503" t="s">
        <v>151</v>
      </c>
      <c r="L34" s="503" t="s">
        <v>152</v>
      </c>
      <c r="M34" s="504">
        <f>SUM(M33:M33)</f>
        <v>0</v>
      </c>
      <c r="N34" s="178" t="s">
        <v>153</v>
      </c>
      <c r="O34" s="178" t="s">
        <v>154</v>
      </c>
      <c r="P34" s="450" t="s">
        <v>153</v>
      </c>
    </row>
    <row r="35" spans="1:17" s="439" customFormat="1" ht="45" hidden="1" customHeight="1">
      <c r="A35" s="440" t="s">
        <v>148</v>
      </c>
      <c r="B35" s="433" t="s">
        <v>149</v>
      </c>
      <c r="C35" s="433" t="s">
        <v>500</v>
      </c>
      <c r="D35" s="438" t="s">
        <v>145</v>
      </c>
      <c r="E35" s="434">
        <v>9500</v>
      </c>
      <c r="F35" s="434">
        <f>SUM(F34:F34)</f>
        <v>0</v>
      </c>
      <c r="G35" s="434">
        <f>SUM(G34:G34)</f>
        <v>0</v>
      </c>
      <c r="H35" s="435">
        <f t="shared" si="2"/>
        <v>9500</v>
      </c>
      <c r="I35" s="434"/>
      <c r="J35" s="434">
        <v>9500</v>
      </c>
      <c r="K35" s="436" t="s">
        <v>151</v>
      </c>
      <c r="L35" s="436" t="s">
        <v>152</v>
      </c>
      <c r="M35" s="437">
        <f>SUM(M34:M34)</f>
        <v>0</v>
      </c>
      <c r="N35" s="178" t="s">
        <v>158</v>
      </c>
      <c r="O35" s="178" t="s">
        <v>154</v>
      </c>
      <c r="P35" s="456" t="s">
        <v>158</v>
      </c>
      <c r="Q35" s="441"/>
    </row>
    <row r="36" spans="1:17" s="104" customFormat="1" ht="45" hidden="1">
      <c r="A36" s="190" t="s">
        <v>155</v>
      </c>
      <c r="B36" s="152" t="s">
        <v>156</v>
      </c>
      <c r="C36" s="152" t="s">
        <v>157</v>
      </c>
      <c r="D36" s="153" t="s">
        <v>145</v>
      </c>
      <c r="E36" s="154">
        <v>100000</v>
      </c>
      <c r="F36" s="154"/>
      <c r="G36" s="154"/>
      <c r="H36" s="155">
        <f>SUM(E36:G36)</f>
        <v>100000</v>
      </c>
      <c r="I36" s="99"/>
      <c r="J36" s="160">
        <v>100000</v>
      </c>
      <c r="K36" s="101" t="s">
        <v>151</v>
      </c>
      <c r="L36" s="101" t="s">
        <v>152</v>
      </c>
      <c r="M36" s="157">
        <v>0</v>
      </c>
      <c r="N36" s="103" t="s">
        <v>158</v>
      </c>
      <c r="O36" s="103" t="s">
        <v>159</v>
      </c>
      <c r="P36" s="456" t="s">
        <v>158</v>
      </c>
      <c r="Q36" s="441"/>
    </row>
    <row r="37" spans="1:17" s="104" customFormat="1" ht="45.75" hidden="1" thickBot="1">
      <c r="A37" s="96" t="s">
        <v>160</v>
      </c>
      <c r="B37" s="148" t="s">
        <v>161</v>
      </c>
      <c r="C37" s="148" t="s">
        <v>162</v>
      </c>
      <c r="D37" s="98" t="s">
        <v>145</v>
      </c>
      <c r="E37" s="99">
        <v>8500</v>
      </c>
      <c r="F37" s="99"/>
      <c r="G37" s="99"/>
      <c r="H37" s="100">
        <f>SUM(E37:G37)</f>
        <v>8500</v>
      </c>
      <c r="I37" s="99"/>
      <c r="J37" s="102">
        <v>3000</v>
      </c>
      <c r="K37" s="101" t="s">
        <v>151</v>
      </c>
      <c r="L37" s="101" t="s">
        <v>152</v>
      </c>
      <c r="M37" s="102">
        <v>0</v>
      </c>
      <c r="N37" s="103" t="s">
        <v>158</v>
      </c>
      <c r="O37" s="103" t="s">
        <v>163</v>
      </c>
      <c r="P37" s="121" t="s">
        <v>158</v>
      </c>
      <c r="Q37" s="441"/>
    </row>
    <row r="38" spans="1:17" ht="15" hidden="1" customHeight="1" thickBot="1">
      <c r="A38" s="105"/>
      <c r="B38" s="85"/>
      <c r="C38" s="85"/>
      <c r="D38" s="86"/>
      <c r="E38" s="87">
        <f>SUM(E34:E37)</f>
        <v>149000</v>
      </c>
      <c r="F38" s="87">
        <f>SUM(F34:F37)</f>
        <v>0</v>
      </c>
      <c r="G38" s="87">
        <f>SUM(G34:G37)</f>
        <v>0</v>
      </c>
      <c r="H38" s="87">
        <f>SUM(H34:H37)</f>
        <v>149000</v>
      </c>
      <c r="I38" s="88"/>
      <c r="J38" s="87">
        <f>SUM(J34:J37)</f>
        <v>143500</v>
      </c>
      <c r="K38" s="89"/>
      <c r="L38" s="89"/>
      <c r="M38" s="90">
        <f>SUM(M34:M37)</f>
        <v>0</v>
      </c>
      <c r="N38" s="89"/>
      <c r="O38" s="91"/>
      <c r="P38" s="447"/>
    </row>
    <row r="39" spans="1:17" ht="15" hidden="1" customHeight="1">
      <c r="A39" s="74"/>
      <c r="B39" s="75" t="s">
        <v>10</v>
      </c>
      <c r="C39" s="76"/>
      <c r="D39" s="77"/>
      <c r="E39" s="78"/>
      <c r="F39" s="78"/>
      <c r="G39" s="78"/>
      <c r="H39" s="92"/>
      <c r="I39" s="79"/>
      <c r="J39" s="79"/>
      <c r="K39" s="80"/>
      <c r="L39" s="80"/>
      <c r="M39" s="81"/>
      <c r="N39" s="79"/>
      <c r="O39" s="82"/>
      <c r="P39" s="446"/>
    </row>
    <row r="40" spans="1:17" s="118" customFormat="1" ht="30" hidden="1">
      <c r="A40" s="187" t="s">
        <v>82</v>
      </c>
      <c r="B40" s="170" t="s">
        <v>38</v>
      </c>
      <c r="C40" s="170" t="s">
        <v>209</v>
      </c>
      <c r="D40" s="171" t="s">
        <v>145</v>
      </c>
      <c r="E40" s="158">
        <v>15300</v>
      </c>
      <c r="F40" s="158"/>
      <c r="G40" s="158"/>
      <c r="H40" s="151">
        <f>SUM(E40:G40)</f>
        <v>15300</v>
      </c>
      <c r="I40" s="121"/>
      <c r="J40" s="122">
        <v>15300</v>
      </c>
      <c r="K40" s="115" t="s">
        <v>207</v>
      </c>
      <c r="L40" s="115" t="s">
        <v>177</v>
      </c>
      <c r="M40" s="159">
        <v>15300</v>
      </c>
      <c r="N40" s="121" t="s">
        <v>158</v>
      </c>
      <c r="O40" s="123" t="s">
        <v>208</v>
      </c>
      <c r="P40" s="121" t="s">
        <v>158</v>
      </c>
      <c r="Q40" s="441"/>
    </row>
    <row r="41" spans="1:17" s="118" customFormat="1" ht="30" hidden="1">
      <c r="A41" s="189" t="s">
        <v>210</v>
      </c>
      <c r="B41" s="161" t="s">
        <v>211</v>
      </c>
      <c r="C41" s="152" t="s">
        <v>212</v>
      </c>
      <c r="D41" s="153" t="s">
        <v>145</v>
      </c>
      <c r="E41" s="162">
        <v>37000</v>
      </c>
      <c r="F41" s="162"/>
      <c r="G41" s="162"/>
      <c r="H41" s="155">
        <f>SUM(E41:G41)</f>
        <v>37000</v>
      </c>
      <c r="I41" s="121"/>
      <c r="J41" s="163">
        <v>37000</v>
      </c>
      <c r="K41" s="115" t="s">
        <v>207</v>
      </c>
      <c r="L41" s="115" t="s">
        <v>177</v>
      </c>
      <c r="M41" s="163">
        <v>0</v>
      </c>
      <c r="N41" s="121" t="s">
        <v>158</v>
      </c>
      <c r="O41" s="123" t="s">
        <v>208</v>
      </c>
      <c r="P41" s="456" t="s">
        <v>158</v>
      </c>
      <c r="Q41" s="441"/>
    </row>
    <row r="42" spans="1:17" s="118" customFormat="1" ht="20.25" hidden="1" customHeight="1">
      <c r="A42" s="189" t="s">
        <v>213</v>
      </c>
      <c r="B42" s="161" t="s">
        <v>214</v>
      </c>
      <c r="C42" s="152" t="s">
        <v>215</v>
      </c>
      <c r="D42" s="153" t="s">
        <v>145</v>
      </c>
      <c r="E42" s="162">
        <v>15000</v>
      </c>
      <c r="F42" s="162"/>
      <c r="G42" s="162"/>
      <c r="H42" s="155">
        <f t="shared" ref="H42:H69" si="3">SUM(E42:G42)</f>
        <v>15000</v>
      </c>
      <c r="I42" s="121"/>
      <c r="J42" s="163">
        <v>15000</v>
      </c>
      <c r="K42" s="115"/>
      <c r="L42" s="115" t="s">
        <v>216</v>
      </c>
      <c r="M42" s="163">
        <v>28900</v>
      </c>
      <c r="N42" s="121" t="s">
        <v>158</v>
      </c>
      <c r="O42" s="123" t="s">
        <v>217</v>
      </c>
      <c r="P42" s="121" t="s">
        <v>158</v>
      </c>
      <c r="Q42" s="441"/>
    </row>
    <row r="43" spans="1:17" s="483" customFormat="1" ht="30" hidden="1">
      <c r="A43" s="471" t="s">
        <v>218</v>
      </c>
      <c r="B43" s="472" t="s">
        <v>214</v>
      </c>
      <c r="C43" s="473" t="s">
        <v>268</v>
      </c>
      <c r="D43" s="474" t="s">
        <v>145</v>
      </c>
      <c r="E43" s="475"/>
      <c r="F43" s="475"/>
      <c r="G43" s="475"/>
      <c r="H43" s="476">
        <f t="shared" si="3"/>
        <v>0</v>
      </c>
      <c r="I43" s="477"/>
      <c r="J43" s="478">
        <v>5100</v>
      </c>
      <c r="K43" s="479"/>
      <c r="L43" s="479" t="s">
        <v>216</v>
      </c>
      <c r="M43" s="480">
        <v>0</v>
      </c>
      <c r="N43" s="477" t="s">
        <v>158</v>
      </c>
      <c r="O43" s="481" t="s">
        <v>219</v>
      </c>
      <c r="P43" s="482" t="s">
        <v>153</v>
      </c>
    </row>
    <row r="44" spans="1:17" s="118" customFormat="1" ht="30" hidden="1">
      <c r="A44" s="189" t="s">
        <v>218</v>
      </c>
      <c r="B44" s="161" t="s">
        <v>214</v>
      </c>
      <c r="C44" s="152" t="s">
        <v>476</v>
      </c>
      <c r="D44" s="153" t="s">
        <v>145</v>
      </c>
      <c r="E44" s="162">
        <v>2200</v>
      </c>
      <c r="F44" s="162"/>
      <c r="G44" s="162"/>
      <c r="H44" s="155">
        <f t="shared" si="3"/>
        <v>2200</v>
      </c>
      <c r="I44" s="121"/>
      <c r="J44" s="163">
        <v>2200</v>
      </c>
      <c r="K44" s="115"/>
      <c r="L44" s="115" t="s">
        <v>216</v>
      </c>
      <c r="M44" s="159">
        <v>0</v>
      </c>
      <c r="N44" s="121" t="s">
        <v>158</v>
      </c>
      <c r="O44" s="123" t="s">
        <v>219</v>
      </c>
      <c r="P44" s="456" t="s">
        <v>158</v>
      </c>
      <c r="Q44" s="441"/>
    </row>
    <row r="45" spans="1:17" s="118" customFormat="1" ht="30" hidden="1">
      <c r="A45" s="189" t="s">
        <v>220</v>
      </c>
      <c r="B45" s="161" t="s">
        <v>214</v>
      </c>
      <c r="C45" s="152" t="s">
        <v>477</v>
      </c>
      <c r="D45" s="153" t="s">
        <v>145</v>
      </c>
      <c r="E45" s="162">
        <v>83500</v>
      </c>
      <c r="F45" s="162"/>
      <c r="G45" s="162"/>
      <c r="H45" s="155">
        <f t="shared" si="3"/>
        <v>83500</v>
      </c>
      <c r="I45" s="121"/>
      <c r="J45" s="163">
        <v>83500</v>
      </c>
      <c r="K45" s="115"/>
      <c r="L45" s="115" t="s">
        <v>216</v>
      </c>
      <c r="M45" s="163">
        <v>0</v>
      </c>
      <c r="N45" s="121" t="s">
        <v>158</v>
      </c>
      <c r="O45" s="123" t="s">
        <v>221</v>
      </c>
      <c r="P45" s="121" t="s">
        <v>158</v>
      </c>
      <c r="Q45" s="441"/>
    </row>
    <row r="46" spans="1:17" s="118" customFormat="1" ht="30" hidden="1">
      <c r="A46" s="192">
        <v>50032</v>
      </c>
      <c r="B46" s="161" t="s">
        <v>222</v>
      </c>
      <c r="C46" s="152" t="s">
        <v>223</v>
      </c>
      <c r="D46" s="153" t="s">
        <v>145</v>
      </c>
      <c r="E46" s="162">
        <f>26775+25</f>
        <v>26800</v>
      </c>
      <c r="F46" s="162"/>
      <c r="G46" s="162"/>
      <c r="H46" s="155">
        <f t="shared" si="3"/>
        <v>26800</v>
      </c>
      <c r="I46" s="121"/>
      <c r="J46" s="163">
        <v>25800</v>
      </c>
      <c r="K46" s="115"/>
      <c r="L46" s="115" t="s">
        <v>216</v>
      </c>
      <c r="M46" s="163">
        <v>0</v>
      </c>
      <c r="N46" s="121" t="s">
        <v>158</v>
      </c>
      <c r="O46" s="123" t="s">
        <v>221</v>
      </c>
      <c r="P46" s="456" t="s">
        <v>158</v>
      </c>
      <c r="Q46" s="441"/>
    </row>
    <row r="47" spans="1:17" s="118" customFormat="1" ht="30" hidden="1">
      <c r="A47" s="189" t="s">
        <v>224</v>
      </c>
      <c r="B47" s="161" t="s">
        <v>214</v>
      </c>
      <c r="C47" s="152" t="s">
        <v>478</v>
      </c>
      <c r="D47" s="153" t="s">
        <v>145</v>
      </c>
      <c r="E47" s="162">
        <v>5300</v>
      </c>
      <c r="F47" s="162"/>
      <c r="G47" s="162"/>
      <c r="H47" s="155">
        <f t="shared" si="3"/>
        <v>5300</v>
      </c>
      <c r="I47" s="121"/>
      <c r="J47" s="163">
        <v>5300</v>
      </c>
      <c r="K47" s="115"/>
      <c r="L47" s="115" t="s">
        <v>216</v>
      </c>
      <c r="M47" s="163">
        <v>0</v>
      </c>
      <c r="N47" s="121" t="s">
        <v>158</v>
      </c>
      <c r="O47" s="123" t="s">
        <v>145</v>
      </c>
      <c r="P47" s="121" t="s">
        <v>158</v>
      </c>
      <c r="Q47" s="441"/>
    </row>
    <row r="48" spans="1:17" s="118" customFormat="1" ht="30" hidden="1">
      <c r="A48" s="189" t="s">
        <v>225</v>
      </c>
      <c r="B48" s="161" t="s">
        <v>214</v>
      </c>
      <c r="C48" s="152" t="s">
        <v>479</v>
      </c>
      <c r="D48" s="153" t="s">
        <v>145</v>
      </c>
      <c r="E48" s="162">
        <v>60000</v>
      </c>
      <c r="F48" s="162"/>
      <c r="G48" s="162"/>
      <c r="H48" s="155">
        <f t="shared" si="3"/>
        <v>60000</v>
      </c>
      <c r="I48" s="121"/>
      <c r="J48" s="163">
        <v>60000</v>
      </c>
      <c r="K48" s="115"/>
      <c r="L48" s="115" t="s">
        <v>216</v>
      </c>
      <c r="M48" s="163">
        <v>0</v>
      </c>
      <c r="N48" s="121" t="s">
        <v>158</v>
      </c>
      <c r="O48" s="123" t="s">
        <v>219</v>
      </c>
      <c r="P48" s="456" t="s">
        <v>158</v>
      </c>
      <c r="Q48" s="441"/>
    </row>
    <row r="49" spans="1:17" s="118" customFormat="1" ht="30" hidden="1">
      <c r="A49" s="189" t="s">
        <v>226</v>
      </c>
      <c r="B49" s="161" t="s">
        <v>214</v>
      </c>
      <c r="C49" s="152" t="s">
        <v>480</v>
      </c>
      <c r="D49" s="153" t="s">
        <v>145</v>
      </c>
      <c r="E49" s="162">
        <f>10182+18</f>
        <v>10200</v>
      </c>
      <c r="F49" s="162"/>
      <c r="G49" s="162"/>
      <c r="H49" s="155">
        <f t="shared" si="3"/>
        <v>10200</v>
      </c>
      <c r="I49" s="121"/>
      <c r="J49" s="163">
        <v>10100</v>
      </c>
      <c r="K49" s="115"/>
      <c r="L49" s="115" t="s">
        <v>216</v>
      </c>
      <c r="M49" s="163">
        <v>0</v>
      </c>
      <c r="N49" s="121" t="s">
        <v>158</v>
      </c>
      <c r="O49" s="123" t="s">
        <v>219</v>
      </c>
      <c r="P49" s="121" t="s">
        <v>158</v>
      </c>
      <c r="Q49" s="441"/>
    </row>
    <row r="50" spans="1:17" s="118" customFormat="1" ht="30" hidden="1">
      <c r="A50" s="189" t="s">
        <v>227</v>
      </c>
      <c r="B50" s="161" t="s">
        <v>214</v>
      </c>
      <c r="C50" s="152" t="s">
        <v>481</v>
      </c>
      <c r="D50" s="153" t="s">
        <v>145</v>
      </c>
      <c r="E50" s="162">
        <v>20000</v>
      </c>
      <c r="F50" s="162">
        <v>5000</v>
      </c>
      <c r="G50" s="162"/>
      <c r="H50" s="155">
        <f t="shared" si="3"/>
        <v>25000</v>
      </c>
      <c r="I50" s="121"/>
      <c r="J50" s="163">
        <v>25000</v>
      </c>
      <c r="K50" s="115"/>
      <c r="L50" s="115" t="s">
        <v>216</v>
      </c>
      <c r="M50" s="163">
        <v>0</v>
      </c>
      <c r="N50" s="121" t="s">
        <v>158</v>
      </c>
      <c r="O50" s="123" t="s">
        <v>219</v>
      </c>
      <c r="P50" s="456" t="s">
        <v>158</v>
      </c>
      <c r="Q50" s="441"/>
    </row>
    <row r="51" spans="1:17" s="118" customFormat="1" ht="30">
      <c r="A51" s="189" t="s">
        <v>228</v>
      </c>
      <c r="B51" s="458" t="s">
        <v>214</v>
      </c>
      <c r="C51" s="459" t="s">
        <v>482</v>
      </c>
      <c r="D51" s="460" t="s">
        <v>145</v>
      </c>
      <c r="E51" s="461">
        <v>30000</v>
      </c>
      <c r="F51" s="461"/>
      <c r="G51" s="461"/>
      <c r="H51" s="462">
        <f t="shared" si="3"/>
        <v>30000</v>
      </c>
      <c r="I51" s="121"/>
      <c r="J51" s="122">
        <v>30000</v>
      </c>
      <c r="K51" s="115"/>
      <c r="L51" s="115" t="s">
        <v>216</v>
      </c>
      <c r="M51" s="463">
        <v>0</v>
      </c>
      <c r="N51" s="121" t="s">
        <v>158</v>
      </c>
      <c r="O51" s="123" t="s">
        <v>219</v>
      </c>
      <c r="P51" s="121" t="s">
        <v>158</v>
      </c>
      <c r="Q51" s="441"/>
    </row>
    <row r="52" spans="1:17" s="118" customFormat="1" ht="30">
      <c r="A52" s="189" t="s">
        <v>229</v>
      </c>
      <c r="B52" s="161" t="s">
        <v>214</v>
      </c>
      <c r="C52" s="152" t="s">
        <v>483</v>
      </c>
      <c r="D52" s="153" t="s">
        <v>145</v>
      </c>
      <c r="E52" s="162">
        <f>79318-18</f>
        <v>79300</v>
      </c>
      <c r="F52" s="162"/>
      <c r="G52" s="162"/>
      <c r="H52" s="155">
        <f t="shared" si="3"/>
        <v>79300</v>
      </c>
      <c r="I52" s="456"/>
      <c r="J52" s="163">
        <v>79300</v>
      </c>
      <c r="K52" s="464"/>
      <c r="L52" s="464" t="s">
        <v>216</v>
      </c>
      <c r="M52" s="163">
        <v>0</v>
      </c>
      <c r="N52" s="456" t="s">
        <v>158</v>
      </c>
      <c r="O52" s="465" t="s">
        <v>221</v>
      </c>
      <c r="P52" s="456" t="s">
        <v>158</v>
      </c>
      <c r="Q52" s="441"/>
    </row>
    <row r="53" spans="1:17" s="483" customFormat="1" ht="27.75" hidden="1" customHeight="1">
      <c r="A53" s="484" t="s">
        <v>501</v>
      </c>
      <c r="B53" s="485" t="s">
        <v>2</v>
      </c>
      <c r="C53" s="486" t="s">
        <v>268</v>
      </c>
      <c r="D53" s="487" t="s">
        <v>145</v>
      </c>
      <c r="E53" s="488"/>
      <c r="F53" s="488"/>
      <c r="G53" s="488"/>
      <c r="H53" s="489">
        <f t="shared" si="3"/>
        <v>0</v>
      </c>
      <c r="I53" s="477"/>
      <c r="J53" s="480">
        <v>5100</v>
      </c>
      <c r="K53" s="479"/>
      <c r="L53" s="479" t="s">
        <v>152</v>
      </c>
      <c r="M53" s="480">
        <v>0</v>
      </c>
      <c r="N53" s="477" t="s">
        <v>153</v>
      </c>
      <c r="O53" s="481" t="s">
        <v>232</v>
      </c>
      <c r="P53" s="490" t="s">
        <v>153</v>
      </c>
    </row>
    <row r="54" spans="1:17" s="483" customFormat="1" ht="27.75" hidden="1" customHeight="1">
      <c r="A54" s="484" t="s">
        <v>498</v>
      </c>
      <c r="B54" s="472"/>
      <c r="C54" s="473"/>
      <c r="D54" s="474"/>
      <c r="E54" s="475"/>
      <c r="F54" s="475"/>
      <c r="G54" s="475"/>
      <c r="H54" s="476"/>
      <c r="I54" s="477"/>
      <c r="J54" s="478">
        <v>-2180</v>
      </c>
      <c r="K54" s="479"/>
      <c r="L54" s="479"/>
      <c r="M54" s="478"/>
      <c r="N54" s="477"/>
      <c r="O54" s="481"/>
      <c r="P54" s="490"/>
    </row>
    <row r="55" spans="1:17" s="483" customFormat="1" ht="27.75" hidden="1" customHeight="1">
      <c r="A55" s="484" t="s">
        <v>230</v>
      </c>
      <c r="B55" s="472"/>
      <c r="C55" s="473"/>
      <c r="D55" s="474"/>
      <c r="E55" s="475"/>
      <c r="F55" s="475"/>
      <c r="G55" s="475"/>
      <c r="H55" s="476"/>
      <c r="I55" s="477"/>
      <c r="J55" s="478">
        <v>105880</v>
      </c>
      <c r="K55" s="479"/>
      <c r="L55" s="479"/>
      <c r="M55" s="478"/>
      <c r="N55" s="477"/>
      <c r="O55" s="481"/>
      <c r="P55" s="490"/>
    </row>
    <row r="56" spans="1:17" s="483" customFormat="1" ht="27.75" hidden="1" customHeight="1">
      <c r="A56" s="484" t="s">
        <v>230</v>
      </c>
      <c r="B56" s="472" t="s">
        <v>2</v>
      </c>
      <c r="C56" s="473" t="s">
        <v>231</v>
      </c>
      <c r="D56" s="474" t="s">
        <v>145</v>
      </c>
      <c r="E56" s="475"/>
      <c r="F56" s="475"/>
      <c r="G56" s="475"/>
      <c r="H56" s="476">
        <f t="shared" si="3"/>
        <v>0</v>
      </c>
      <c r="I56" s="491"/>
      <c r="J56" s="478">
        <v>103700</v>
      </c>
      <c r="K56" s="492"/>
      <c r="L56" s="492" t="s">
        <v>152</v>
      </c>
      <c r="M56" s="478">
        <v>0</v>
      </c>
      <c r="N56" s="491" t="s">
        <v>153</v>
      </c>
      <c r="O56" s="493" t="s">
        <v>232</v>
      </c>
      <c r="P56" s="490" t="s">
        <v>153</v>
      </c>
    </row>
    <row r="57" spans="1:17" s="118" customFormat="1" hidden="1">
      <c r="A57" s="113" t="s">
        <v>233</v>
      </c>
      <c r="B57" s="120"/>
      <c r="C57" s="97"/>
      <c r="D57" s="98"/>
      <c r="E57" s="114">
        <v>25055</v>
      </c>
      <c r="F57" s="114"/>
      <c r="G57" s="114"/>
      <c r="H57" s="100">
        <f t="shared" si="3"/>
        <v>25055</v>
      </c>
      <c r="I57" s="121"/>
      <c r="J57" s="122">
        <v>25100</v>
      </c>
      <c r="K57" s="115"/>
      <c r="L57" s="115"/>
      <c r="M57" s="122"/>
      <c r="N57" s="121"/>
      <c r="O57" s="123"/>
      <c r="P57" s="452"/>
    </row>
    <row r="58" spans="1:17" s="118" customFormat="1" hidden="1">
      <c r="A58" s="113" t="s">
        <v>234</v>
      </c>
      <c r="B58" s="120"/>
      <c r="C58" s="97"/>
      <c r="D58" s="98"/>
      <c r="E58" s="114">
        <v>166</v>
      </c>
      <c r="F58" s="114"/>
      <c r="G58" s="114"/>
      <c r="H58" s="100">
        <f t="shared" si="3"/>
        <v>166</v>
      </c>
      <c r="I58" s="121"/>
      <c r="J58" s="122">
        <v>200</v>
      </c>
      <c r="K58" s="115"/>
      <c r="L58" s="115"/>
      <c r="M58" s="122"/>
      <c r="N58" s="121"/>
      <c r="O58" s="123"/>
      <c r="P58" s="452"/>
    </row>
    <row r="59" spans="1:17" s="118" customFormat="1" hidden="1">
      <c r="A59" s="113" t="s">
        <v>235</v>
      </c>
      <c r="B59" s="120"/>
      <c r="C59" s="97"/>
      <c r="D59" s="98"/>
      <c r="E59" s="114">
        <v>7996</v>
      </c>
      <c r="F59" s="114"/>
      <c r="G59" s="114"/>
      <c r="H59" s="100">
        <f t="shared" si="3"/>
        <v>7996</v>
      </c>
      <c r="I59" s="121"/>
      <c r="J59" s="122">
        <v>8000</v>
      </c>
      <c r="K59" s="115"/>
      <c r="L59" s="115"/>
      <c r="M59" s="122"/>
      <c r="N59" s="121"/>
      <c r="O59" s="123"/>
      <c r="P59" s="452"/>
    </row>
    <row r="60" spans="1:17" s="118" customFormat="1" hidden="1">
      <c r="A60" s="113" t="s">
        <v>236</v>
      </c>
      <c r="B60" s="120"/>
      <c r="C60" s="97"/>
      <c r="D60" s="98"/>
      <c r="E60" s="114">
        <v>1458</v>
      </c>
      <c r="F60" s="114"/>
      <c r="G60" s="114"/>
      <c r="H60" s="100">
        <f t="shared" si="3"/>
        <v>1458</v>
      </c>
      <c r="I60" s="121"/>
      <c r="J60" s="122">
        <v>1400</v>
      </c>
      <c r="K60" s="115"/>
      <c r="L60" s="115"/>
      <c r="M60" s="122"/>
      <c r="N60" s="121"/>
      <c r="O60" s="123"/>
      <c r="P60" s="452"/>
    </row>
    <row r="61" spans="1:17" s="118" customFormat="1" ht="20.25" customHeight="1">
      <c r="A61" s="113"/>
      <c r="B61" s="170" t="s">
        <v>237</v>
      </c>
      <c r="C61" s="148" t="s">
        <v>238</v>
      </c>
      <c r="D61" s="149" t="s">
        <v>145</v>
      </c>
      <c r="E61" s="158">
        <f>SUM(E57:E60)+25</f>
        <v>34700</v>
      </c>
      <c r="F61" s="158">
        <f>SUM(F57:F60)</f>
        <v>0</v>
      </c>
      <c r="G61" s="158">
        <f>SUM(G57:G60)</f>
        <v>0</v>
      </c>
      <c r="H61" s="151">
        <f>SUM(H57:H60)+25</f>
        <v>34700</v>
      </c>
      <c r="I61" s="121"/>
      <c r="J61" s="122">
        <f>SUM(J57:J60)</f>
        <v>34700</v>
      </c>
      <c r="K61" s="115"/>
      <c r="L61" s="115" t="s">
        <v>216</v>
      </c>
      <c r="M61" s="159">
        <f>SUM(M57:M60)</f>
        <v>0</v>
      </c>
      <c r="N61" s="121" t="s">
        <v>153</v>
      </c>
      <c r="O61" s="123"/>
      <c r="P61" s="453" t="s">
        <v>153</v>
      </c>
    </row>
    <row r="62" spans="1:17" s="118" customFormat="1" ht="30">
      <c r="A62" s="187" t="s">
        <v>239</v>
      </c>
      <c r="B62" s="161" t="s">
        <v>237</v>
      </c>
      <c r="C62" s="152" t="s">
        <v>240</v>
      </c>
      <c r="D62" s="153" t="s">
        <v>145</v>
      </c>
      <c r="E62" s="162">
        <v>175000</v>
      </c>
      <c r="F62" s="162"/>
      <c r="G62" s="162"/>
      <c r="H62" s="155">
        <f t="shared" ref="H62:H67" si="4">SUM(E62:G62)</f>
        <v>175000</v>
      </c>
      <c r="I62" s="121"/>
      <c r="J62" s="163">
        <f>175000-4000</f>
        <v>171000</v>
      </c>
      <c r="K62" s="115"/>
      <c r="L62" s="115" t="s">
        <v>216</v>
      </c>
      <c r="M62" s="163">
        <v>0</v>
      </c>
      <c r="N62" s="121" t="s">
        <v>158</v>
      </c>
      <c r="O62" s="123" t="s">
        <v>241</v>
      </c>
      <c r="P62" s="121" t="s">
        <v>158</v>
      </c>
      <c r="Q62" s="441"/>
    </row>
    <row r="63" spans="1:17" s="118" customFormat="1" hidden="1">
      <c r="A63" s="113" t="s">
        <v>242</v>
      </c>
      <c r="B63" s="120"/>
      <c r="C63" s="97"/>
      <c r="D63" s="98"/>
      <c r="E63" s="114">
        <v>13000</v>
      </c>
      <c r="F63" s="114"/>
      <c r="G63" s="114"/>
      <c r="H63" s="100">
        <f t="shared" si="4"/>
        <v>13000</v>
      </c>
      <c r="I63" s="121"/>
      <c r="J63" s="122">
        <v>13000</v>
      </c>
      <c r="K63" s="115"/>
      <c r="L63" s="115"/>
      <c r="M63" s="122"/>
      <c r="N63" s="121"/>
      <c r="O63" s="123"/>
      <c r="P63" s="452"/>
    </row>
    <row r="64" spans="1:17" s="118" customFormat="1" hidden="1">
      <c r="A64" s="113" t="s">
        <v>243</v>
      </c>
      <c r="B64" s="120"/>
      <c r="C64" s="97"/>
      <c r="D64" s="98"/>
      <c r="E64" s="114">
        <v>1000</v>
      </c>
      <c r="F64" s="114"/>
      <c r="G64" s="114"/>
      <c r="H64" s="100">
        <f t="shared" si="4"/>
        <v>1000</v>
      </c>
      <c r="I64" s="121"/>
      <c r="J64" s="122">
        <v>1000</v>
      </c>
      <c r="K64" s="115"/>
      <c r="L64" s="115"/>
      <c r="M64" s="122"/>
      <c r="N64" s="121"/>
      <c r="O64" s="123"/>
      <c r="P64" s="452"/>
    </row>
    <row r="65" spans="1:17" s="118" customFormat="1" hidden="1">
      <c r="A65" s="113" t="s">
        <v>244</v>
      </c>
      <c r="B65" s="120"/>
      <c r="C65" s="97"/>
      <c r="D65" s="98"/>
      <c r="E65" s="114">
        <v>2000</v>
      </c>
      <c r="F65" s="114"/>
      <c r="G65" s="114"/>
      <c r="H65" s="100">
        <f t="shared" si="4"/>
        <v>2000</v>
      </c>
      <c r="I65" s="121"/>
      <c r="J65" s="122">
        <v>2000</v>
      </c>
      <c r="K65" s="115"/>
      <c r="L65" s="115"/>
      <c r="M65" s="122"/>
      <c r="N65" s="121"/>
      <c r="O65" s="123"/>
      <c r="P65" s="452"/>
    </row>
    <row r="66" spans="1:17" s="118" customFormat="1" hidden="1">
      <c r="A66" s="113" t="s">
        <v>245</v>
      </c>
      <c r="B66" s="120"/>
      <c r="C66" s="97"/>
      <c r="D66" s="98"/>
      <c r="E66" s="114">
        <v>500</v>
      </c>
      <c r="F66" s="114"/>
      <c r="G66" s="114"/>
      <c r="H66" s="100">
        <f t="shared" si="4"/>
        <v>500</v>
      </c>
      <c r="I66" s="121"/>
      <c r="J66" s="122">
        <v>500</v>
      </c>
      <c r="K66" s="115"/>
      <c r="L66" s="115"/>
      <c r="M66" s="122"/>
      <c r="N66" s="121"/>
      <c r="O66" s="123"/>
      <c r="P66" s="452"/>
    </row>
    <row r="67" spans="1:17" s="118" customFormat="1" hidden="1">
      <c r="A67" s="113" t="s">
        <v>246</v>
      </c>
      <c r="B67" s="120"/>
      <c r="C67" s="97"/>
      <c r="D67" s="98"/>
      <c r="E67" s="114">
        <v>500</v>
      </c>
      <c r="F67" s="114"/>
      <c r="G67" s="114"/>
      <c r="H67" s="100">
        <f t="shared" si="4"/>
        <v>500</v>
      </c>
      <c r="I67" s="121"/>
      <c r="J67" s="122">
        <v>500</v>
      </c>
      <c r="K67" s="115"/>
      <c r="L67" s="115"/>
      <c r="M67" s="122"/>
      <c r="N67" s="121"/>
      <c r="O67" s="123"/>
      <c r="P67" s="452"/>
    </row>
    <row r="68" spans="1:17" s="118" customFormat="1" ht="18.75" customHeight="1">
      <c r="A68" s="113"/>
      <c r="B68" s="170" t="s">
        <v>237</v>
      </c>
      <c r="C68" s="148" t="s">
        <v>238</v>
      </c>
      <c r="D68" s="149" t="s">
        <v>145</v>
      </c>
      <c r="E68" s="158">
        <f>SUM(E63:E67)</f>
        <v>17000</v>
      </c>
      <c r="F68" s="158">
        <f>SUM(F63:F67)</f>
        <v>0</v>
      </c>
      <c r="G68" s="158">
        <f>SUM(G63:G67)</f>
        <v>0</v>
      </c>
      <c r="H68" s="151">
        <f>SUM(H63:H67)</f>
        <v>17000</v>
      </c>
      <c r="I68" s="121"/>
      <c r="J68" s="163">
        <f>SUM(J63:J67)</f>
        <v>17000</v>
      </c>
      <c r="K68" s="115"/>
      <c r="L68" s="115" t="s">
        <v>216</v>
      </c>
      <c r="M68" s="159">
        <f>SUM(M63:M67)</f>
        <v>0</v>
      </c>
      <c r="N68" s="121" t="s">
        <v>153</v>
      </c>
      <c r="O68" s="123"/>
      <c r="P68" s="453" t="s">
        <v>158</v>
      </c>
    </row>
    <row r="69" spans="1:17" s="118" customFormat="1" ht="18.75" customHeight="1" thickBot="1">
      <c r="A69" s="187" t="s">
        <v>74</v>
      </c>
      <c r="B69" s="161" t="s">
        <v>237</v>
      </c>
      <c r="C69" s="152" t="s">
        <v>247</v>
      </c>
      <c r="D69" s="181" t="s">
        <v>145</v>
      </c>
      <c r="E69" s="114">
        <v>9200</v>
      </c>
      <c r="F69" s="114"/>
      <c r="G69" s="114"/>
      <c r="H69" s="100">
        <f t="shared" si="3"/>
        <v>9200</v>
      </c>
      <c r="I69" s="121"/>
      <c r="J69" s="122">
        <f>35500-26300</f>
        <v>9200</v>
      </c>
      <c r="K69" s="115"/>
      <c r="L69" s="115" t="s">
        <v>216</v>
      </c>
      <c r="M69" s="122">
        <v>8700</v>
      </c>
      <c r="N69" s="121" t="s">
        <v>158</v>
      </c>
      <c r="O69" s="123" t="s">
        <v>145</v>
      </c>
      <c r="P69" s="121" t="s">
        <v>158</v>
      </c>
      <c r="Q69" s="441"/>
    </row>
    <row r="70" spans="1:17" ht="16.5" thickBot="1">
      <c r="A70" s="84"/>
      <c r="B70" s="85"/>
      <c r="C70" s="85"/>
      <c r="D70" s="86"/>
      <c r="E70" s="124">
        <f>SUM(E40:E69)-SUM(E57:E60)-SUM(E63:E67)</f>
        <v>620500</v>
      </c>
      <c r="F70" s="124">
        <f>SUM(F40:F69)-SUM(F57:F60)-SUM(F63:F67)</f>
        <v>5000</v>
      </c>
      <c r="G70" s="124">
        <f>SUM(G40:G69)-SUM(G57:G60)-SUM(G63:G67)</f>
        <v>0</v>
      </c>
      <c r="H70" s="124">
        <f>SUM(H40:H69)-SUM(H57:H60)-SUM(H63:H67)</f>
        <v>625500</v>
      </c>
      <c r="I70" s="125"/>
      <c r="J70" s="124">
        <f>SUM(J40:J69)-SUM(J57:J60)-SUM(J63:J67)</f>
        <v>838000</v>
      </c>
      <c r="K70" s="126"/>
      <c r="L70" s="126"/>
      <c r="M70" s="90">
        <f>SUM(M40:M69)-SUM(M57:M60)-SUM(M63:M67)</f>
        <v>52900</v>
      </c>
      <c r="N70" s="89"/>
      <c r="O70" s="91"/>
      <c r="P70" s="447"/>
    </row>
    <row r="71" spans="1:17" ht="15" customHeight="1">
      <c r="A71" s="74"/>
      <c r="B71" s="56" t="s">
        <v>248</v>
      </c>
      <c r="C71" s="127"/>
      <c r="D71" s="128"/>
      <c r="E71" s="129"/>
      <c r="F71" s="130"/>
      <c r="G71" s="108"/>
      <c r="H71" s="109"/>
      <c r="I71" s="92"/>
      <c r="J71" s="109"/>
      <c r="K71" s="80"/>
      <c r="L71" s="80"/>
      <c r="M71" s="110"/>
      <c r="N71" s="111"/>
      <c r="O71" s="112"/>
      <c r="P71" s="448"/>
    </row>
    <row r="72" spans="1:17" s="118" customFormat="1" ht="30">
      <c r="A72" s="113" t="s">
        <v>75</v>
      </c>
      <c r="B72" s="172" t="s">
        <v>28</v>
      </c>
      <c r="C72" s="172" t="s">
        <v>249</v>
      </c>
      <c r="D72" s="173" t="s">
        <v>145</v>
      </c>
      <c r="E72" s="174">
        <v>37600</v>
      </c>
      <c r="F72" s="151"/>
      <c r="G72" s="174"/>
      <c r="H72" s="151">
        <f>SUM(E72:G72)</f>
        <v>37600</v>
      </c>
      <c r="I72" s="100"/>
      <c r="J72" s="100">
        <v>37600</v>
      </c>
      <c r="K72" s="115" t="s">
        <v>168</v>
      </c>
      <c r="L72" s="115" t="s">
        <v>181</v>
      </c>
      <c r="M72" s="159">
        <v>20000</v>
      </c>
      <c r="N72" s="121" t="s">
        <v>146</v>
      </c>
      <c r="O72" s="123" t="s">
        <v>250</v>
      </c>
      <c r="P72" s="121" t="s">
        <v>158</v>
      </c>
      <c r="Q72" s="441"/>
    </row>
    <row r="73" spans="1:17" s="104" customFormat="1" ht="45.75" thickBot="1">
      <c r="A73" s="96" t="s">
        <v>251</v>
      </c>
      <c r="B73" s="175" t="s">
        <v>89</v>
      </c>
      <c r="C73" s="175" t="s">
        <v>266</v>
      </c>
      <c r="D73" s="131" t="s">
        <v>145</v>
      </c>
      <c r="E73" s="132">
        <v>19200</v>
      </c>
      <c r="F73" s="119"/>
      <c r="G73" s="132"/>
      <c r="H73" s="119">
        <f>SUM(E73:G73)</f>
        <v>19200</v>
      </c>
      <c r="I73" s="119"/>
      <c r="J73" s="119">
        <v>19200</v>
      </c>
      <c r="K73" s="101" t="s">
        <v>168</v>
      </c>
      <c r="L73" s="101" t="s">
        <v>181</v>
      </c>
      <c r="M73" s="133">
        <v>0</v>
      </c>
      <c r="N73" s="123" t="s">
        <v>158</v>
      </c>
      <c r="O73" s="123" t="s">
        <v>252</v>
      </c>
      <c r="P73" s="121" t="s">
        <v>158</v>
      </c>
      <c r="Q73" s="441"/>
    </row>
    <row r="74" spans="1:17" ht="16.5" thickBot="1">
      <c r="A74" s="84"/>
      <c r="B74" s="85"/>
      <c r="C74" s="85"/>
      <c r="D74" s="86"/>
      <c r="E74" s="134">
        <f>SUM(E72:E73)</f>
        <v>56800</v>
      </c>
      <c r="F74" s="124">
        <f>SUM(F72:F73)</f>
        <v>0</v>
      </c>
      <c r="G74" s="135">
        <f>SUM(G72:G73)</f>
        <v>0</v>
      </c>
      <c r="H74" s="124">
        <f>SUM(H72:H73)</f>
        <v>56800</v>
      </c>
      <c r="I74" s="125"/>
      <c r="J74" s="124">
        <f>SUM(J72:J73)</f>
        <v>56800</v>
      </c>
      <c r="K74" s="126"/>
      <c r="L74" s="126"/>
      <c r="M74" s="90">
        <f>SUM(M72:M73)</f>
        <v>20000</v>
      </c>
      <c r="N74" s="89"/>
      <c r="O74" s="91"/>
      <c r="P74" s="447"/>
    </row>
    <row r="75" spans="1:17" ht="15" customHeight="1">
      <c r="A75" s="74"/>
      <c r="B75" s="75" t="s">
        <v>76</v>
      </c>
      <c r="C75" s="106"/>
      <c r="D75" s="136"/>
      <c r="E75" s="129"/>
      <c r="F75" s="130"/>
      <c r="G75" s="108"/>
      <c r="H75" s="92"/>
      <c r="I75" s="92"/>
      <c r="J75" s="109"/>
      <c r="K75" s="111"/>
      <c r="L75" s="111"/>
      <c r="M75" s="110"/>
      <c r="N75" s="111"/>
      <c r="O75" s="112"/>
      <c r="P75" s="448"/>
    </row>
    <row r="76" spans="1:17" s="104" customFormat="1" ht="30">
      <c r="A76" s="96" t="s">
        <v>83</v>
      </c>
      <c r="B76" s="148" t="s">
        <v>253</v>
      </c>
      <c r="C76" s="148" t="s">
        <v>254</v>
      </c>
      <c r="D76" s="176" t="s">
        <v>145</v>
      </c>
      <c r="E76" s="177">
        <v>25300</v>
      </c>
      <c r="F76" s="164"/>
      <c r="G76" s="177"/>
      <c r="H76" s="164">
        <f>SUM(E76:G76)</f>
        <v>25300</v>
      </c>
      <c r="I76" s="119"/>
      <c r="J76" s="119">
        <v>25300</v>
      </c>
      <c r="K76" s="123" t="s">
        <v>151</v>
      </c>
      <c r="L76" s="123" t="s">
        <v>152</v>
      </c>
      <c r="M76" s="156">
        <v>40000</v>
      </c>
      <c r="N76" s="123" t="s">
        <v>146</v>
      </c>
      <c r="O76" s="123" t="s">
        <v>167</v>
      </c>
      <c r="P76" s="454" t="s">
        <v>158</v>
      </c>
    </row>
    <row r="77" spans="1:17" s="104" customFormat="1" ht="15.75" thickBot="1">
      <c r="A77" s="96" t="s">
        <v>255</v>
      </c>
      <c r="B77" s="152" t="s">
        <v>256</v>
      </c>
      <c r="C77" s="152" t="s">
        <v>257</v>
      </c>
      <c r="D77" s="101" t="s">
        <v>145</v>
      </c>
      <c r="E77" s="132">
        <v>6000</v>
      </c>
      <c r="F77" s="119"/>
      <c r="G77" s="132"/>
      <c r="H77" s="119">
        <f>SUM(E77:G77)</f>
        <v>6000</v>
      </c>
      <c r="I77" s="119"/>
      <c r="J77" s="432">
        <v>6000</v>
      </c>
      <c r="K77" s="123" t="s">
        <v>258</v>
      </c>
      <c r="L77" s="123" t="s">
        <v>152</v>
      </c>
      <c r="M77" s="133">
        <v>0</v>
      </c>
      <c r="N77" s="123" t="s">
        <v>153</v>
      </c>
      <c r="O77" s="123" t="s">
        <v>167</v>
      </c>
      <c r="P77" s="451" t="s">
        <v>153</v>
      </c>
    </row>
    <row r="78" spans="1:17" ht="15.75" customHeight="1" thickBot="1">
      <c r="A78" s="84"/>
      <c r="B78" s="85"/>
      <c r="C78" s="85"/>
      <c r="D78" s="72"/>
      <c r="E78" s="137">
        <f>SUM(E76:E77)</f>
        <v>31300</v>
      </c>
      <c r="F78" s="87">
        <f>SUM(F76:F77)</f>
        <v>0</v>
      </c>
      <c r="G78" s="138">
        <f>SUM(G76:G77)</f>
        <v>0</v>
      </c>
      <c r="H78" s="87">
        <f>SUM(H76:H77)</f>
        <v>31300</v>
      </c>
      <c r="I78" s="88"/>
      <c r="J78" s="87">
        <f>SUM(J76:J77)</f>
        <v>31300</v>
      </c>
      <c r="K78" s="89"/>
      <c r="L78" s="89"/>
      <c r="M78" s="90">
        <f>SUM(M76:M77)</f>
        <v>40000</v>
      </c>
      <c r="N78" s="89"/>
      <c r="O78" s="91"/>
      <c r="P78" s="447"/>
    </row>
    <row r="79" spans="1:17" s="139" customFormat="1" ht="16.5" thickBot="1">
      <c r="B79" s="140" t="s">
        <v>259</v>
      </c>
      <c r="C79" s="141"/>
      <c r="D79" s="142"/>
      <c r="E79" s="135">
        <f>SUM(E78+E38+E32+E74+E70+E15)</f>
        <v>1517999.88</v>
      </c>
      <c r="F79" s="124">
        <f>SUM(F78+F38+F32+F74+F70+F15)</f>
        <v>34000</v>
      </c>
      <c r="G79" s="124">
        <f>SUM(G78+G38+G32+G74+G70+G15)</f>
        <v>0</v>
      </c>
      <c r="H79" s="124">
        <f>SUM(H78+H38+H32+H74+H70+H15)</f>
        <v>1551999.88</v>
      </c>
      <c r="I79" s="125"/>
      <c r="J79" s="124">
        <f>SUM(J78+J38+J32+J74+J70+J15)</f>
        <v>1751800</v>
      </c>
      <c r="K79" s="126"/>
      <c r="L79" s="126"/>
      <c r="M79" s="90">
        <f>SUM(M78+M38+M32+M74+M70+M15)</f>
        <v>409700</v>
      </c>
      <c r="N79" s="89"/>
      <c r="O79" s="91"/>
      <c r="P79" s="447"/>
    </row>
    <row r="80" spans="1:17">
      <c r="M80" s="143"/>
    </row>
    <row r="81" spans="1:16" ht="15.75">
      <c r="B81" s="144" t="s">
        <v>260</v>
      </c>
      <c r="M81" s="143"/>
    </row>
    <row r="82" spans="1:16">
      <c r="A82" s="46" t="s">
        <v>158</v>
      </c>
      <c r="B82" s="48" t="s">
        <v>261</v>
      </c>
      <c r="H82" s="50">
        <f>SUMIF($P$14:$P$79,$A$82:$A$84,$H$14:$H$79)</f>
        <v>1480299.88</v>
      </c>
      <c r="J82" s="50">
        <f>SUMIF($P$14:$P$79,$A$82:$A$84,$J$14:$J$79)</f>
        <v>1462500</v>
      </c>
      <c r="M82" s="143"/>
    </row>
    <row r="83" spans="1:16">
      <c r="A83" s="46" t="s">
        <v>153</v>
      </c>
      <c r="B83" s="48" t="s">
        <v>262</v>
      </c>
      <c r="H83" s="50">
        <f>SUMIF($P$14:$P$79,$A$82:$A$84,$H$14:$H$79)</f>
        <v>71700</v>
      </c>
      <c r="J83" s="50">
        <f>SUMIF($P$14:$P$79,$A$82:$A$84,$J$14:$J$79)</f>
        <v>185600</v>
      </c>
      <c r="M83" s="143"/>
    </row>
    <row r="84" spans="1:16">
      <c r="H84" s="51"/>
      <c r="J84" s="51"/>
      <c r="M84" s="145"/>
      <c r="N84" s="146"/>
      <c r="O84" s="147"/>
      <c r="P84" s="455"/>
    </row>
    <row r="85" spans="1:16">
      <c r="H85" s="51"/>
      <c r="J85" s="51"/>
      <c r="M85" s="145"/>
      <c r="N85" s="146"/>
      <c r="O85" s="147"/>
      <c r="P85" s="455"/>
    </row>
    <row r="86" spans="1:16">
      <c r="H86" s="51"/>
      <c r="J86" s="51"/>
      <c r="M86" s="145"/>
      <c r="N86" s="146"/>
      <c r="O86" s="147"/>
      <c r="P86" s="455"/>
    </row>
    <row r="87" spans="1:16">
      <c r="H87" s="51"/>
      <c r="J87" s="51"/>
      <c r="M87" s="145"/>
      <c r="N87" s="146"/>
      <c r="O87" s="147"/>
      <c r="P87" s="455"/>
    </row>
    <row r="88" spans="1:16">
      <c r="H88" s="51"/>
      <c r="J88" s="51"/>
      <c r="M88" s="145"/>
      <c r="N88" s="146"/>
      <c r="O88" s="147"/>
      <c r="P88" s="455"/>
    </row>
    <row r="89" spans="1:16">
      <c r="H89" s="51"/>
      <c r="J89" s="51"/>
      <c r="M89" s="145"/>
      <c r="N89" s="146"/>
      <c r="O89" s="147"/>
      <c r="P89" s="455"/>
    </row>
    <row r="90" spans="1:16">
      <c r="B90" s="469">
        <f ca="1">NOW()</f>
        <v>40336.490004976855</v>
      </c>
      <c r="H90" s="51"/>
      <c r="J90" s="51"/>
      <c r="M90" s="145"/>
      <c r="N90" s="146"/>
      <c r="O90" s="147"/>
      <c r="P90" s="455"/>
    </row>
    <row r="91" spans="1:16">
      <c r="H91" s="51"/>
      <c r="J91" s="51"/>
      <c r="M91" s="145"/>
      <c r="N91" s="146"/>
      <c r="O91" s="147"/>
      <c r="P91" s="455"/>
    </row>
    <row r="92" spans="1:16">
      <c r="H92" s="51"/>
      <c r="J92" s="51"/>
      <c r="M92" s="145"/>
      <c r="N92" s="146"/>
      <c r="O92" s="147"/>
      <c r="P92" s="455"/>
    </row>
    <row r="93" spans="1:16">
      <c r="H93" s="51"/>
      <c r="J93" s="51"/>
      <c r="M93" s="145"/>
      <c r="N93" s="146"/>
      <c r="O93" s="147"/>
      <c r="P93" s="455"/>
    </row>
    <row r="94" spans="1:16">
      <c r="H94" s="51"/>
      <c r="J94" s="51"/>
      <c r="M94" s="145"/>
      <c r="N94" s="146"/>
      <c r="O94" s="147"/>
      <c r="P94" s="455"/>
    </row>
    <row r="95" spans="1:16">
      <c r="H95" s="51"/>
      <c r="J95" s="51"/>
      <c r="M95" s="145"/>
      <c r="N95" s="146"/>
      <c r="O95" s="147"/>
      <c r="P95" s="455"/>
    </row>
    <row r="96" spans="1:16">
      <c r="H96" s="51"/>
      <c r="J96" s="51"/>
      <c r="M96" s="145"/>
      <c r="N96" s="146"/>
      <c r="O96" s="147"/>
      <c r="P96" s="455"/>
    </row>
    <row r="97" spans="8:16">
      <c r="H97" s="51"/>
      <c r="J97" s="51"/>
      <c r="M97" s="51"/>
      <c r="N97" s="146"/>
      <c r="O97" s="147"/>
      <c r="P97" s="455"/>
    </row>
    <row r="98" spans="8:16">
      <c r="H98" s="51"/>
      <c r="J98" s="51"/>
      <c r="M98" s="51"/>
      <c r="N98" s="146"/>
      <c r="O98" s="147"/>
      <c r="P98" s="455"/>
    </row>
    <row r="99" spans="8:16">
      <c r="H99" s="51"/>
      <c r="J99" s="51"/>
      <c r="M99" s="51"/>
      <c r="N99" s="146"/>
      <c r="O99" s="147"/>
      <c r="P99" s="455"/>
    </row>
  </sheetData>
  <mergeCells count="5">
    <mergeCell ref="D3:D5"/>
    <mergeCell ref="E3:G3"/>
    <mergeCell ref="J3:J4"/>
    <mergeCell ref="M3:M4"/>
    <mergeCell ref="O3:O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&amp;R&amp;"Arial,Bold"&amp;12APPENDIX B [3]</oddHeader>
    <oddFooter>&amp;C&amp;"Arial,Bold"&amp;12&amp;A</oddFooter>
  </headerFooter>
  <rowBreaks count="2" manualBreakCount="2">
    <brk id="32" max="16383" man="1"/>
    <brk id="50" min="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view="pageBreakPreview" topLeftCell="B5" zoomScale="60" zoomScaleNormal="75" workbookViewId="0">
      <selection activeCell="E35" sqref="E35"/>
    </sheetView>
  </sheetViews>
  <sheetFormatPr defaultColWidth="9.140625" defaultRowHeight="15"/>
  <cols>
    <col min="1" max="1" width="21.85546875" style="46" hidden="1" customWidth="1"/>
    <col min="2" max="2" width="25.85546875" style="48" customWidth="1"/>
    <col min="3" max="3" width="82.140625" style="48" customWidth="1"/>
    <col min="4" max="4" width="15.5703125" style="49" hidden="1" customWidth="1"/>
    <col min="5" max="5" width="13" style="50" customWidth="1"/>
    <col min="6" max="7" width="9.85546875" style="50" customWidth="1"/>
    <col min="8" max="8" width="11.7109375" style="50" customWidth="1"/>
    <col min="9" max="9" width="1.42578125" style="51" customWidth="1"/>
    <col min="10" max="10" width="13.28515625" style="50" hidden="1" customWidth="1"/>
    <col min="11" max="11" width="19.42578125" style="49" hidden="1" customWidth="1"/>
    <col min="12" max="12" width="21.140625" style="49" hidden="1" customWidth="1"/>
    <col min="13" max="13" width="18.7109375" style="50" hidden="1" customWidth="1"/>
    <col min="14" max="14" width="11.5703125" style="52" hidden="1" customWidth="1"/>
    <col min="15" max="15" width="15.28515625" style="53" hidden="1" customWidth="1"/>
    <col min="16" max="16" width="11.5703125" style="442" bestFit="1" customWidth="1"/>
    <col min="17" max="17" width="13.28515625" style="48" customWidth="1"/>
    <col min="18" max="16384" width="9.140625" style="48"/>
  </cols>
  <sheetData>
    <row r="1" spans="1:16" ht="15" customHeight="1">
      <c r="B1" s="47" t="s">
        <v>128</v>
      </c>
    </row>
    <row r="2" spans="1:16" ht="15" customHeight="1" thickBot="1">
      <c r="A2" s="54"/>
      <c r="H2" s="55"/>
    </row>
    <row r="3" spans="1:16" ht="48" customHeight="1" thickBot="1">
      <c r="A3" s="56"/>
      <c r="B3" s="57"/>
      <c r="C3" s="57"/>
      <c r="D3" s="521" t="s">
        <v>129</v>
      </c>
      <c r="E3" s="524" t="s">
        <v>77</v>
      </c>
      <c r="F3" s="525"/>
      <c r="G3" s="526"/>
      <c r="H3" s="58" t="s">
        <v>0</v>
      </c>
      <c r="I3" s="59"/>
      <c r="J3" s="527" t="s">
        <v>497</v>
      </c>
      <c r="K3" s="60"/>
      <c r="L3" s="60"/>
      <c r="M3" s="527" t="s">
        <v>130</v>
      </c>
      <c r="N3" s="61" t="s">
        <v>131</v>
      </c>
      <c r="O3" s="527" t="s">
        <v>132</v>
      </c>
      <c r="P3" s="443" t="s">
        <v>131</v>
      </c>
    </row>
    <row r="4" spans="1:16" ht="16.5" thickBot="1">
      <c r="A4" s="62" t="s">
        <v>71</v>
      </c>
      <c r="B4" s="63" t="s">
        <v>133</v>
      </c>
      <c r="C4" s="63" t="s">
        <v>72</v>
      </c>
      <c r="D4" s="522"/>
      <c r="E4" s="64" t="s">
        <v>134</v>
      </c>
      <c r="F4" s="65" t="s">
        <v>135</v>
      </c>
      <c r="G4" s="65" t="s">
        <v>136</v>
      </c>
      <c r="H4" s="59"/>
      <c r="I4" s="59"/>
      <c r="J4" s="528"/>
      <c r="K4" s="66" t="s">
        <v>137</v>
      </c>
      <c r="L4" s="66" t="s">
        <v>138</v>
      </c>
      <c r="M4" s="528"/>
      <c r="N4" s="67"/>
      <c r="O4" s="528"/>
      <c r="P4" s="444"/>
    </row>
    <row r="5" spans="1:16" ht="16.5" thickBot="1">
      <c r="A5" s="68"/>
      <c r="B5" s="69"/>
      <c r="C5" s="69"/>
      <c r="D5" s="523"/>
      <c r="E5" s="64" t="s">
        <v>7</v>
      </c>
      <c r="F5" s="70" t="s">
        <v>7</v>
      </c>
      <c r="G5" s="70" t="s">
        <v>7</v>
      </c>
      <c r="H5" s="70" t="s">
        <v>7</v>
      </c>
      <c r="I5" s="71"/>
      <c r="J5" s="70" t="s">
        <v>7</v>
      </c>
      <c r="K5" s="72"/>
      <c r="L5" s="72"/>
      <c r="M5" s="70" t="s">
        <v>7</v>
      </c>
      <c r="N5" s="70"/>
      <c r="O5" s="73" t="s">
        <v>7</v>
      </c>
      <c r="P5" s="445"/>
    </row>
    <row r="6" spans="1:16" ht="15" customHeight="1">
      <c r="A6" s="74"/>
      <c r="B6" s="75" t="s">
        <v>20</v>
      </c>
      <c r="C6" s="76"/>
      <c r="D6" s="77"/>
      <c r="E6" s="78"/>
      <c r="F6" s="78"/>
      <c r="G6" s="78"/>
      <c r="H6" s="79"/>
      <c r="I6" s="79"/>
      <c r="J6" s="79"/>
      <c r="K6" s="80"/>
      <c r="L6" s="80"/>
      <c r="M6" s="81"/>
      <c r="N6" s="79"/>
      <c r="O6" s="82"/>
      <c r="P6" s="446"/>
    </row>
    <row r="7" spans="1:16" ht="15" hidden="1" customHeight="1">
      <c r="A7" s="74" t="s">
        <v>139</v>
      </c>
      <c r="B7" s="75"/>
      <c r="C7" s="76"/>
      <c r="D7" s="77"/>
      <c r="E7" s="78">
        <v>175600</v>
      </c>
      <c r="F7" s="78"/>
      <c r="G7" s="78"/>
      <c r="H7" s="81">
        <f t="shared" ref="H7:H13" si="0">SUM(E7:G7)</f>
        <v>175600</v>
      </c>
      <c r="I7" s="79"/>
      <c r="J7" s="79"/>
      <c r="K7" s="80"/>
      <c r="L7" s="80"/>
      <c r="M7" s="81"/>
      <c r="N7" s="79"/>
      <c r="O7" s="82"/>
      <c r="P7" s="446"/>
    </row>
    <row r="8" spans="1:16" ht="15" hidden="1" customHeight="1">
      <c r="A8" s="74" t="s">
        <v>78</v>
      </c>
      <c r="B8" s="75"/>
      <c r="C8" s="76"/>
      <c r="D8" s="77"/>
      <c r="E8" s="78">
        <v>80500</v>
      </c>
      <c r="F8" s="78"/>
      <c r="G8" s="78"/>
      <c r="H8" s="81">
        <f t="shared" si="0"/>
        <v>80500</v>
      </c>
      <c r="I8" s="79"/>
      <c r="J8" s="79"/>
      <c r="K8" s="80"/>
      <c r="L8" s="80"/>
      <c r="M8" s="81"/>
      <c r="N8" s="79"/>
      <c r="O8" s="82"/>
      <c r="P8" s="446"/>
    </row>
    <row r="9" spans="1:16" ht="15" hidden="1" customHeight="1">
      <c r="A9" s="74" t="s">
        <v>140</v>
      </c>
      <c r="B9" s="75"/>
      <c r="C9" s="76"/>
      <c r="D9" s="77"/>
      <c r="E9" s="78">
        <v>444</v>
      </c>
      <c r="F9" s="78"/>
      <c r="G9" s="78"/>
      <c r="H9" s="81">
        <f t="shared" si="0"/>
        <v>444</v>
      </c>
      <c r="I9" s="79"/>
      <c r="J9" s="79"/>
      <c r="K9" s="80"/>
      <c r="L9" s="80"/>
      <c r="M9" s="81"/>
      <c r="N9" s="79"/>
      <c r="O9" s="82"/>
      <c r="P9" s="446"/>
    </row>
    <row r="10" spans="1:16" ht="15" hidden="1" customHeight="1">
      <c r="A10" s="74" t="s">
        <v>141</v>
      </c>
      <c r="B10" s="75"/>
      <c r="C10" s="76"/>
      <c r="D10" s="77"/>
      <c r="E10" s="78">
        <v>528</v>
      </c>
      <c r="F10" s="78"/>
      <c r="G10" s="78"/>
      <c r="H10" s="81">
        <f t="shared" si="0"/>
        <v>528</v>
      </c>
      <c r="I10" s="79"/>
      <c r="J10" s="79"/>
      <c r="K10" s="80"/>
      <c r="L10" s="80"/>
      <c r="M10" s="81"/>
      <c r="N10" s="79"/>
      <c r="O10" s="82"/>
      <c r="P10" s="446"/>
    </row>
    <row r="11" spans="1:16" ht="15" hidden="1" customHeight="1">
      <c r="A11" s="74" t="s">
        <v>142</v>
      </c>
      <c r="B11" s="75"/>
      <c r="C11" s="76"/>
      <c r="D11" s="77"/>
      <c r="E11" s="78">
        <v>3664</v>
      </c>
      <c r="F11" s="78"/>
      <c r="G11" s="78"/>
      <c r="H11" s="81">
        <f t="shared" si="0"/>
        <v>3664</v>
      </c>
      <c r="I11" s="79"/>
      <c r="J11" s="79"/>
      <c r="K11" s="80"/>
      <c r="L11" s="80"/>
      <c r="M11" s="81"/>
      <c r="N11" s="79"/>
      <c r="O11" s="82"/>
      <c r="P11" s="446"/>
    </row>
    <row r="12" spans="1:16" ht="15" hidden="1" customHeight="1">
      <c r="A12" s="74" t="s">
        <v>143</v>
      </c>
      <c r="B12" s="75"/>
      <c r="C12" s="76"/>
      <c r="D12" s="77"/>
      <c r="E12" s="78">
        <v>5814</v>
      </c>
      <c r="F12" s="78"/>
      <c r="G12" s="78"/>
      <c r="H12" s="81">
        <f t="shared" si="0"/>
        <v>5814</v>
      </c>
      <c r="I12" s="79"/>
      <c r="J12" s="79"/>
      <c r="K12" s="80"/>
      <c r="L12" s="80"/>
      <c r="M12" s="81"/>
      <c r="N12" s="79"/>
      <c r="O12" s="82"/>
      <c r="P12" s="446"/>
    </row>
    <row r="13" spans="1:16" ht="15" hidden="1" customHeight="1">
      <c r="A13" s="74" t="s">
        <v>144</v>
      </c>
      <c r="B13" s="75"/>
      <c r="C13" s="76"/>
      <c r="D13" s="77"/>
      <c r="E13" s="78">
        <v>2199</v>
      </c>
      <c r="F13" s="78"/>
      <c r="G13" s="78"/>
      <c r="H13" s="81">
        <f t="shared" si="0"/>
        <v>2199</v>
      </c>
      <c r="I13" s="79"/>
      <c r="J13" s="79"/>
      <c r="K13" s="80"/>
      <c r="L13" s="80"/>
      <c r="M13" s="81"/>
      <c r="N13" s="79"/>
      <c r="O13" s="82"/>
      <c r="P13" s="446"/>
    </row>
    <row r="14" spans="1:16" ht="30.75" thickBot="1">
      <c r="A14" s="74"/>
      <c r="B14" s="76"/>
      <c r="C14" s="466" t="s">
        <v>505</v>
      </c>
      <c r="D14" s="77" t="s">
        <v>145</v>
      </c>
      <c r="E14" s="83">
        <f>SUM(E7:E13)-49</f>
        <v>268700</v>
      </c>
      <c r="F14" s="78">
        <f>SUM(F7:F13)</f>
        <v>0</v>
      </c>
      <c r="G14" s="78">
        <f>SUM(G7:G13)</f>
        <v>0</v>
      </c>
      <c r="H14" s="81">
        <f>SUM(H7:H13)-49</f>
        <v>268700</v>
      </c>
      <c r="I14" s="81"/>
      <c r="J14" s="81">
        <v>269700</v>
      </c>
      <c r="K14" s="80"/>
      <c r="L14" s="80"/>
      <c r="M14" s="81">
        <v>153400</v>
      </c>
      <c r="N14" s="79" t="s">
        <v>146</v>
      </c>
      <c r="O14" s="82"/>
      <c r="P14" s="446" t="s">
        <v>158</v>
      </c>
    </row>
    <row r="15" spans="1:16" ht="16.5" thickBot="1">
      <c r="A15" s="84"/>
      <c r="B15" s="85"/>
      <c r="C15" s="85"/>
      <c r="D15" s="86"/>
      <c r="E15" s="87">
        <f>E14</f>
        <v>268700</v>
      </c>
      <c r="F15" s="87">
        <f>F14</f>
        <v>0</v>
      </c>
      <c r="G15" s="87">
        <f>G14</f>
        <v>0</v>
      </c>
      <c r="H15" s="87">
        <f>H14</f>
        <v>268700</v>
      </c>
      <c r="I15" s="88"/>
      <c r="J15" s="87">
        <f>J14</f>
        <v>269700</v>
      </c>
      <c r="K15" s="89"/>
      <c r="L15" s="89"/>
      <c r="M15" s="90">
        <f>SUM(M7:M14)</f>
        <v>153400</v>
      </c>
      <c r="N15" s="89"/>
      <c r="O15" s="91"/>
      <c r="P15" s="447"/>
    </row>
    <row r="16" spans="1:16" ht="15" customHeight="1">
      <c r="A16" s="186"/>
      <c r="B16" s="57" t="s">
        <v>14</v>
      </c>
      <c r="C16" s="106"/>
      <c r="D16" s="107"/>
      <c r="E16" s="108"/>
      <c r="F16" s="108"/>
      <c r="G16" s="108"/>
      <c r="H16" s="92"/>
      <c r="I16" s="92"/>
      <c r="J16" s="109"/>
      <c r="K16" s="80"/>
      <c r="L16" s="80"/>
      <c r="M16" s="110"/>
      <c r="N16" s="111"/>
      <c r="O16" s="112"/>
      <c r="P16" s="448"/>
    </row>
    <row r="17" spans="1:17" s="118" customFormat="1" ht="45">
      <c r="A17" s="187" t="s">
        <v>164</v>
      </c>
      <c r="B17" s="148" t="s">
        <v>165</v>
      </c>
      <c r="C17" s="148" t="s">
        <v>166</v>
      </c>
      <c r="D17" s="149" t="s">
        <v>167</v>
      </c>
      <c r="E17" s="158">
        <v>19600</v>
      </c>
      <c r="F17" s="158">
        <v>0</v>
      </c>
      <c r="G17" s="158">
        <v>0</v>
      </c>
      <c r="H17" s="151">
        <f t="shared" ref="H17:H31" si="1">SUM(E17:G17)</f>
        <v>19600</v>
      </c>
      <c r="I17" s="114"/>
      <c r="J17" s="114">
        <v>14600</v>
      </c>
      <c r="K17" s="115" t="s">
        <v>168</v>
      </c>
      <c r="L17" s="115" t="s">
        <v>169</v>
      </c>
      <c r="M17" s="159">
        <v>0</v>
      </c>
      <c r="N17" s="117" t="s">
        <v>158</v>
      </c>
      <c r="O17" s="103" t="s">
        <v>54</v>
      </c>
      <c r="P17" s="117" t="s">
        <v>158</v>
      </c>
      <c r="Q17" s="441"/>
    </row>
    <row r="18" spans="1:17" s="104" customFormat="1" ht="30">
      <c r="A18" s="188" t="s">
        <v>170</v>
      </c>
      <c r="B18" s="152" t="s">
        <v>62</v>
      </c>
      <c r="C18" s="152" t="s">
        <v>171</v>
      </c>
      <c r="D18" s="153" t="s">
        <v>167</v>
      </c>
      <c r="E18" s="154">
        <f>8479+21</f>
        <v>8500</v>
      </c>
      <c r="F18" s="154"/>
      <c r="G18" s="154"/>
      <c r="H18" s="160">
        <f t="shared" si="1"/>
        <v>8500</v>
      </c>
      <c r="I18" s="99"/>
      <c r="J18" s="160">
        <v>8500</v>
      </c>
      <c r="K18" s="101" t="s">
        <v>168</v>
      </c>
      <c r="L18" s="101" t="s">
        <v>169</v>
      </c>
      <c r="M18" s="157">
        <v>0</v>
      </c>
      <c r="N18" s="103" t="s">
        <v>158</v>
      </c>
      <c r="O18" s="103" t="s">
        <v>172</v>
      </c>
      <c r="P18" s="456" t="s">
        <v>158</v>
      </c>
      <c r="Q18" s="441"/>
    </row>
    <row r="19" spans="1:17" s="118" customFormat="1" hidden="1">
      <c r="A19" s="113" t="s">
        <v>79</v>
      </c>
      <c r="B19" s="97"/>
      <c r="C19" s="97"/>
      <c r="D19" s="98"/>
      <c r="E19" s="114">
        <f>24900</f>
        <v>24900</v>
      </c>
      <c r="F19" s="114"/>
      <c r="G19" s="114"/>
      <c r="H19" s="100">
        <f t="shared" si="1"/>
        <v>24900</v>
      </c>
      <c r="I19" s="114"/>
      <c r="J19" s="114">
        <v>22200</v>
      </c>
      <c r="K19" s="115"/>
      <c r="L19" s="115"/>
      <c r="M19" s="116"/>
      <c r="N19" s="117"/>
      <c r="O19" s="103"/>
      <c r="P19" s="449"/>
    </row>
    <row r="20" spans="1:17" s="118" customFormat="1" hidden="1">
      <c r="A20" s="113" t="s">
        <v>73</v>
      </c>
      <c r="B20" s="97"/>
      <c r="C20" s="97"/>
      <c r="D20" s="98"/>
      <c r="E20" s="114">
        <v>18500</v>
      </c>
      <c r="F20" s="114"/>
      <c r="G20" s="114"/>
      <c r="H20" s="100">
        <f t="shared" si="1"/>
        <v>18500</v>
      </c>
      <c r="I20" s="114"/>
      <c r="J20" s="114">
        <v>20100</v>
      </c>
      <c r="K20" s="115"/>
      <c r="L20" s="115"/>
      <c r="M20" s="116"/>
      <c r="N20" s="117"/>
      <c r="O20" s="103"/>
      <c r="P20" s="449"/>
    </row>
    <row r="21" spans="1:17" s="104" customFormat="1" ht="30">
      <c r="A21" s="190"/>
      <c r="B21" s="148" t="s">
        <v>80</v>
      </c>
      <c r="C21" s="148" t="s">
        <v>173</v>
      </c>
      <c r="D21" s="149" t="s">
        <v>167</v>
      </c>
      <c r="E21" s="150">
        <f>SUM(E19:E20)</f>
        <v>43400</v>
      </c>
      <c r="F21" s="150">
        <f>SUM(F19:F20)</f>
        <v>0</v>
      </c>
      <c r="G21" s="150">
        <f>SUM(G19:G20)</f>
        <v>0</v>
      </c>
      <c r="H21" s="164">
        <f>SUM(H19:H20)</f>
        <v>43400</v>
      </c>
      <c r="I21" s="99"/>
      <c r="J21" s="160">
        <f>SUM(J19:J20)</f>
        <v>42300</v>
      </c>
      <c r="K21" s="101" t="s">
        <v>168</v>
      </c>
      <c r="L21" s="101" t="s">
        <v>169</v>
      </c>
      <c r="M21" s="156">
        <f>67500+24400</f>
        <v>91900</v>
      </c>
      <c r="N21" s="103" t="s">
        <v>174</v>
      </c>
      <c r="O21" s="103" t="s">
        <v>167</v>
      </c>
      <c r="P21" s="470" t="s">
        <v>158</v>
      </c>
    </row>
    <row r="22" spans="1:17" s="104" customFormat="1" ht="30">
      <c r="A22" s="188" t="s">
        <v>81</v>
      </c>
      <c r="B22" s="152" t="s">
        <v>175</v>
      </c>
      <c r="C22" s="152" t="s">
        <v>176</v>
      </c>
      <c r="D22" s="153" t="s">
        <v>145</v>
      </c>
      <c r="E22" s="154">
        <v>15900</v>
      </c>
      <c r="F22" s="154"/>
      <c r="G22" s="154"/>
      <c r="H22" s="160">
        <f>SUM(E22:G22)</f>
        <v>15900</v>
      </c>
      <c r="I22" s="99"/>
      <c r="J22" s="160">
        <v>15900</v>
      </c>
      <c r="K22" s="101"/>
      <c r="L22" s="101" t="s">
        <v>177</v>
      </c>
      <c r="M22" s="157">
        <v>18400</v>
      </c>
      <c r="N22" s="103" t="s">
        <v>146</v>
      </c>
      <c r="O22" s="103" t="s">
        <v>167</v>
      </c>
      <c r="P22" s="450" t="s">
        <v>158</v>
      </c>
    </row>
    <row r="23" spans="1:17" s="104" customFormat="1" ht="30">
      <c r="A23" s="188" t="s">
        <v>178</v>
      </c>
      <c r="B23" s="152" t="s">
        <v>179</v>
      </c>
      <c r="C23" s="152" t="s">
        <v>180</v>
      </c>
      <c r="D23" s="153" t="s">
        <v>145</v>
      </c>
      <c r="E23" s="154">
        <v>175000</v>
      </c>
      <c r="F23" s="154"/>
      <c r="G23" s="154"/>
      <c r="H23" s="160">
        <f t="shared" si="1"/>
        <v>175000</v>
      </c>
      <c r="I23" s="99"/>
      <c r="J23" s="160">
        <v>175000</v>
      </c>
      <c r="K23" s="101"/>
      <c r="L23" s="101" t="s">
        <v>181</v>
      </c>
      <c r="M23" s="157">
        <v>0</v>
      </c>
      <c r="N23" s="103" t="s">
        <v>158</v>
      </c>
      <c r="O23" s="103" t="s">
        <v>182</v>
      </c>
      <c r="P23" s="117" t="s">
        <v>158</v>
      </c>
      <c r="Q23" s="441"/>
    </row>
    <row r="24" spans="1:17" s="104" customFormat="1" ht="30">
      <c r="A24" s="188" t="s">
        <v>183</v>
      </c>
      <c r="B24" s="152" t="s">
        <v>184</v>
      </c>
      <c r="C24" s="152" t="s">
        <v>185</v>
      </c>
      <c r="D24" s="153" t="s">
        <v>145</v>
      </c>
      <c r="E24" s="154">
        <f>14948-48</f>
        <v>14900</v>
      </c>
      <c r="F24" s="154"/>
      <c r="G24" s="154"/>
      <c r="H24" s="160">
        <f t="shared" si="1"/>
        <v>14900</v>
      </c>
      <c r="I24" s="99"/>
      <c r="J24" s="160">
        <v>14900</v>
      </c>
      <c r="K24" s="101" t="s">
        <v>168</v>
      </c>
      <c r="L24" s="101" t="s">
        <v>169</v>
      </c>
      <c r="M24" s="182">
        <v>0</v>
      </c>
      <c r="N24" s="103" t="s">
        <v>158</v>
      </c>
      <c r="O24" s="103" t="s">
        <v>54</v>
      </c>
      <c r="P24" s="457" t="s">
        <v>158</v>
      </c>
      <c r="Q24" s="441"/>
    </row>
    <row r="25" spans="1:17" s="118" customFormat="1" ht="30">
      <c r="A25" s="189" t="s">
        <v>186</v>
      </c>
      <c r="B25" s="161" t="s">
        <v>187</v>
      </c>
      <c r="C25" s="152" t="s">
        <v>188</v>
      </c>
      <c r="D25" s="165" t="s">
        <v>167</v>
      </c>
      <c r="E25" s="162">
        <f>141800-4153.12-47</f>
        <v>137599.88</v>
      </c>
      <c r="F25" s="162"/>
      <c r="G25" s="162"/>
      <c r="H25" s="155">
        <f t="shared" si="1"/>
        <v>137599.88</v>
      </c>
      <c r="I25" s="114"/>
      <c r="J25" s="155">
        <v>137600</v>
      </c>
      <c r="K25" s="115" t="s">
        <v>168</v>
      </c>
      <c r="L25" s="115" t="s">
        <v>169</v>
      </c>
      <c r="M25" s="163">
        <v>0</v>
      </c>
      <c r="N25" s="184" t="s">
        <v>158</v>
      </c>
      <c r="O25" s="185" t="s">
        <v>189</v>
      </c>
      <c r="P25" s="184" t="s">
        <v>158</v>
      </c>
      <c r="Q25" s="441"/>
    </row>
    <row r="26" spans="1:17" ht="30">
      <c r="A26" s="191" t="s">
        <v>190</v>
      </c>
      <c r="B26" s="166" t="s">
        <v>187</v>
      </c>
      <c r="C26" s="167" t="s">
        <v>191</v>
      </c>
      <c r="D26" s="165" t="s">
        <v>167</v>
      </c>
      <c r="E26" s="168">
        <f>-137647+47</f>
        <v>-137600</v>
      </c>
      <c r="F26" s="168"/>
      <c r="G26" s="168"/>
      <c r="H26" s="169">
        <f t="shared" si="1"/>
        <v>-137600</v>
      </c>
      <c r="I26" s="93"/>
      <c r="J26" s="169">
        <v>-137600</v>
      </c>
      <c r="K26" s="80" t="s">
        <v>168</v>
      </c>
      <c r="L26" s="80" t="s">
        <v>169</v>
      </c>
      <c r="M26" s="183">
        <v>0</v>
      </c>
      <c r="N26" s="94" t="s">
        <v>158</v>
      </c>
      <c r="O26" s="95" t="s">
        <v>189</v>
      </c>
      <c r="P26" s="193" t="s">
        <v>158</v>
      </c>
      <c r="Q26" s="441"/>
    </row>
    <row r="27" spans="1:17" s="118" customFormat="1" ht="30">
      <c r="A27" s="189" t="s">
        <v>192</v>
      </c>
      <c r="B27" s="161" t="s">
        <v>124</v>
      </c>
      <c r="C27" s="152" t="s">
        <v>193</v>
      </c>
      <c r="D27" s="165" t="s">
        <v>145</v>
      </c>
      <c r="E27" s="162">
        <v>20200</v>
      </c>
      <c r="F27" s="162"/>
      <c r="G27" s="162"/>
      <c r="H27" s="155">
        <f t="shared" si="1"/>
        <v>20200</v>
      </c>
      <c r="I27" s="114"/>
      <c r="J27" s="155">
        <v>20200</v>
      </c>
      <c r="K27" s="115"/>
      <c r="L27" s="115" t="s">
        <v>177</v>
      </c>
      <c r="M27" s="163">
        <v>0</v>
      </c>
      <c r="N27" s="117" t="s">
        <v>158</v>
      </c>
      <c r="O27" s="103" t="s">
        <v>194</v>
      </c>
      <c r="P27" s="117" t="s">
        <v>158</v>
      </c>
      <c r="Q27" s="441"/>
    </row>
    <row r="28" spans="1:17" s="104" customFormat="1" ht="30">
      <c r="A28" s="188" t="s">
        <v>195</v>
      </c>
      <c r="B28" s="152" t="s">
        <v>196</v>
      </c>
      <c r="C28" s="152" t="s">
        <v>197</v>
      </c>
      <c r="D28" s="153" t="s">
        <v>145</v>
      </c>
      <c r="E28" s="154">
        <f>2023-23</f>
        <v>2000</v>
      </c>
      <c r="F28" s="154"/>
      <c r="G28" s="154"/>
      <c r="H28" s="155">
        <f t="shared" si="1"/>
        <v>2000</v>
      </c>
      <c r="I28" s="99"/>
      <c r="J28" s="160">
        <v>2000</v>
      </c>
      <c r="K28" s="101"/>
      <c r="L28" s="101" t="s">
        <v>177</v>
      </c>
      <c r="M28" s="157">
        <v>0</v>
      </c>
      <c r="N28" s="103" t="s">
        <v>146</v>
      </c>
      <c r="O28" s="103" t="s">
        <v>189</v>
      </c>
      <c r="P28" s="450" t="s">
        <v>158</v>
      </c>
    </row>
    <row r="29" spans="1:17" s="104" customFormat="1" ht="30.75">
      <c r="A29" s="188" t="s">
        <v>198</v>
      </c>
      <c r="B29" s="152" t="s">
        <v>199</v>
      </c>
      <c r="C29" s="152" t="s">
        <v>200</v>
      </c>
      <c r="D29" s="153" t="s">
        <v>145</v>
      </c>
      <c r="E29" s="154">
        <f>90432-32</f>
        <v>90400</v>
      </c>
      <c r="F29" s="154"/>
      <c r="G29" s="154"/>
      <c r="H29" s="160">
        <f t="shared" si="1"/>
        <v>90400</v>
      </c>
      <c r="I29" s="99"/>
      <c r="J29" s="160">
        <v>88300</v>
      </c>
      <c r="K29" s="101" t="s">
        <v>201</v>
      </c>
      <c r="L29" s="101" t="s">
        <v>152</v>
      </c>
      <c r="M29" s="157">
        <v>0</v>
      </c>
      <c r="N29" s="103" t="s">
        <v>158</v>
      </c>
      <c r="O29" s="103" t="s">
        <v>167</v>
      </c>
      <c r="P29" s="117" t="s">
        <v>158</v>
      </c>
      <c r="Q29" s="441"/>
    </row>
    <row r="30" spans="1:17" s="104" customFormat="1" ht="30">
      <c r="A30" s="188" t="s">
        <v>202</v>
      </c>
      <c r="B30" s="152" t="s">
        <v>203</v>
      </c>
      <c r="C30" s="152" t="s">
        <v>204</v>
      </c>
      <c r="D30" s="153" t="s">
        <v>145</v>
      </c>
      <c r="E30" s="154">
        <v>1800</v>
      </c>
      <c r="F30" s="154"/>
      <c r="G30" s="154"/>
      <c r="H30" s="160">
        <f t="shared" si="1"/>
        <v>1800</v>
      </c>
      <c r="I30" s="99"/>
      <c r="J30" s="160">
        <v>1800</v>
      </c>
      <c r="K30" s="101"/>
      <c r="L30" s="101" t="s">
        <v>177</v>
      </c>
      <c r="M30" s="157">
        <v>0</v>
      </c>
      <c r="N30" s="103" t="s">
        <v>158</v>
      </c>
      <c r="O30" s="103" t="s">
        <v>167</v>
      </c>
      <c r="P30" s="456" t="s">
        <v>158</v>
      </c>
      <c r="Q30" s="441"/>
    </row>
    <row r="31" spans="1:17" s="104" customFormat="1" ht="30.75" thickBot="1">
      <c r="A31" s="188" t="s">
        <v>205</v>
      </c>
      <c r="B31" s="152" t="s">
        <v>42</v>
      </c>
      <c r="C31" s="152" t="s">
        <v>206</v>
      </c>
      <c r="D31" s="181" t="s">
        <v>167</v>
      </c>
      <c r="E31" s="99"/>
      <c r="F31" s="99">
        <v>29000</v>
      </c>
      <c r="G31" s="99"/>
      <c r="H31" s="119">
        <f t="shared" si="1"/>
        <v>29000</v>
      </c>
      <c r="I31" s="99"/>
      <c r="J31" s="99">
        <v>29000</v>
      </c>
      <c r="K31" s="101" t="s">
        <v>207</v>
      </c>
      <c r="L31" s="101" t="s">
        <v>169</v>
      </c>
      <c r="M31" s="102">
        <v>33100</v>
      </c>
      <c r="N31" s="103" t="s">
        <v>158</v>
      </c>
      <c r="O31" s="103" t="s">
        <v>208</v>
      </c>
      <c r="P31" s="117" t="s">
        <v>158</v>
      </c>
      <c r="Q31" s="441"/>
    </row>
    <row r="32" spans="1:17" ht="16.5" thickBot="1">
      <c r="A32" s="105"/>
      <c r="B32" s="85"/>
      <c r="C32" s="85"/>
      <c r="D32" s="86"/>
      <c r="E32" s="87">
        <f>SUM(E17:E31)-E19-E20</f>
        <v>391699.88</v>
      </c>
      <c r="F32" s="87">
        <f>SUM(F17:F31)-F19-F20</f>
        <v>29000</v>
      </c>
      <c r="G32" s="87">
        <f>SUM(G17:G31)-G19-G20</f>
        <v>0</v>
      </c>
      <c r="H32" s="87">
        <f>SUM(H17:H31)-H19-H20</f>
        <v>420699.88</v>
      </c>
      <c r="I32" s="88"/>
      <c r="J32" s="87">
        <f>SUM(J17:J31)-J19-J20</f>
        <v>412500</v>
      </c>
      <c r="K32" s="89"/>
      <c r="L32" s="89"/>
      <c r="M32" s="90">
        <f>SUM(M17:M31)-M19-M20</f>
        <v>143400</v>
      </c>
      <c r="N32" s="89"/>
      <c r="O32" s="91"/>
      <c r="P32" s="447"/>
    </row>
    <row r="33" spans="1:17" ht="18" customHeight="1">
      <c r="A33" s="74"/>
      <c r="B33" s="63" t="s">
        <v>11</v>
      </c>
      <c r="C33" s="76"/>
      <c r="D33" s="77"/>
      <c r="E33" s="78"/>
      <c r="F33" s="78"/>
      <c r="G33" s="78"/>
      <c r="H33" s="92"/>
      <c r="I33" s="92"/>
      <c r="J33" s="92"/>
      <c r="K33" s="80"/>
      <c r="L33" s="80"/>
      <c r="M33" s="81"/>
      <c r="N33" s="79"/>
      <c r="O33" s="82"/>
      <c r="P33" s="448"/>
    </row>
    <row r="34" spans="1:17" s="505" customFormat="1" ht="45" customHeight="1">
      <c r="A34" s="440" t="s">
        <v>147</v>
      </c>
      <c r="B34" s="496" t="s">
        <v>499</v>
      </c>
      <c r="C34" s="496" t="s">
        <v>150</v>
      </c>
      <c r="D34" s="497" t="s">
        <v>145</v>
      </c>
      <c r="E34" s="498">
        <v>31000</v>
      </c>
      <c r="F34" s="499"/>
      <c r="G34" s="499"/>
      <c r="H34" s="500">
        <f t="shared" ref="H34:H35" si="2">SUM(E34:G34)</f>
        <v>31000</v>
      </c>
      <c r="I34" s="501"/>
      <c r="J34" s="502">
        <v>31000</v>
      </c>
      <c r="K34" s="503" t="s">
        <v>151</v>
      </c>
      <c r="L34" s="503" t="s">
        <v>152</v>
      </c>
      <c r="M34" s="504">
        <f>SUM(M33:M33)</f>
        <v>0</v>
      </c>
      <c r="N34" s="178" t="s">
        <v>153</v>
      </c>
      <c r="O34" s="178" t="s">
        <v>154</v>
      </c>
      <c r="P34" s="450" t="s">
        <v>153</v>
      </c>
    </row>
    <row r="35" spans="1:17" s="439" customFormat="1" ht="45" customHeight="1">
      <c r="A35" s="440" t="s">
        <v>148</v>
      </c>
      <c r="B35" s="433" t="s">
        <v>149</v>
      </c>
      <c r="C35" s="433" t="s">
        <v>500</v>
      </c>
      <c r="D35" s="438" t="s">
        <v>145</v>
      </c>
      <c r="E35" s="434">
        <v>9500</v>
      </c>
      <c r="F35" s="434">
        <f>SUM(F34:F34)</f>
        <v>0</v>
      </c>
      <c r="G35" s="434">
        <f>SUM(G34:G34)</f>
        <v>0</v>
      </c>
      <c r="H35" s="435">
        <f t="shared" si="2"/>
        <v>9500</v>
      </c>
      <c r="I35" s="434"/>
      <c r="J35" s="434">
        <v>9500</v>
      </c>
      <c r="K35" s="436" t="s">
        <v>151</v>
      </c>
      <c r="L35" s="436" t="s">
        <v>152</v>
      </c>
      <c r="M35" s="437">
        <f>SUM(M34:M34)</f>
        <v>0</v>
      </c>
      <c r="N35" s="178" t="s">
        <v>158</v>
      </c>
      <c r="O35" s="178" t="s">
        <v>154</v>
      </c>
      <c r="P35" s="456" t="s">
        <v>158</v>
      </c>
      <c r="Q35" s="441"/>
    </row>
    <row r="36" spans="1:17" s="104" customFormat="1" ht="45">
      <c r="A36" s="190" t="s">
        <v>155</v>
      </c>
      <c r="B36" s="152" t="s">
        <v>156</v>
      </c>
      <c r="C36" s="152" t="s">
        <v>157</v>
      </c>
      <c r="D36" s="153" t="s">
        <v>145</v>
      </c>
      <c r="E36" s="154">
        <v>100000</v>
      </c>
      <c r="F36" s="154"/>
      <c r="G36" s="154"/>
      <c r="H36" s="155">
        <f>SUM(E36:G36)</f>
        <v>100000</v>
      </c>
      <c r="I36" s="99"/>
      <c r="J36" s="160">
        <v>100000</v>
      </c>
      <c r="K36" s="101" t="s">
        <v>151</v>
      </c>
      <c r="L36" s="101" t="s">
        <v>152</v>
      </c>
      <c r="M36" s="157">
        <v>0</v>
      </c>
      <c r="N36" s="103" t="s">
        <v>158</v>
      </c>
      <c r="O36" s="103" t="s">
        <v>159</v>
      </c>
      <c r="P36" s="456" t="s">
        <v>158</v>
      </c>
      <c r="Q36" s="441"/>
    </row>
    <row r="37" spans="1:17" s="104" customFormat="1" ht="45.75" thickBot="1">
      <c r="A37" s="96" t="s">
        <v>160</v>
      </c>
      <c r="B37" s="148" t="s">
        <v>161</v>
      </c>
      <c r="C37" s="148" t="s">
        <v>162</v>
      </c>
      <c r="D37" s="98" t="s">
        <v>145</v>
      </c>
      <c r="E37" s="99">
        <v>8500</v>
      </c>
      <c r="F37" s="99"/>
      <c r="G37" s="99"/>
      <c r="H37" s="100">
        <f>SUM(E37:G37)</f>
        <v>8500</v>
      </c>
      <c r="I37" s="99"/>
      <c r="J37" s="102">
        <v>3000</v>
      </c>
      <c r="K37" s="101" t="s">
        <v>151</v>
      </c>
      <c r="L37" s="101" t="s">
        <v>152</v>
      </c>
      <c r="M37" s="102">
        <v>0</v>
      </c>
      <c r="N37" s="103" t="s">
        <v>158</v>
      </c>
      <c r="O37" s="103" t="s">
        <v>163</v>
      </c>
      <c r="P37" s="121" t="s">
        <v>158</v>
      </c>
      <c r="Q37" s="441"/>
    </row>
    <row r="38" spans="1:17" ht="15" customHeight="1" thickBot="1">
      <c r="A38" s="105"/>
      <c r="B38" s="85"/>
      <c r="C38" s="85"/>
      <c r="D38" s="86"/>
      <c r="E38" s="87">
        <f>SUM(E34:E37)</f>
        <v>149000</v>
      </c>
      <c r="F38" s="87">
        <f>SUM(F34:F37)</f>
        <v>0</v>
      </c>
      <c r="G38" s="87">
        <f>SUM(G34:G37)</f>
        <v>0</v>
      </c>
      <c r="H38" s="87">
        <f>SUM(H34:H37)</f>
        <v>149000</v>
      </c>
      <c r="I38" s="88"/>
      <c r="J38" s="87">
        <f>SUM(J34:J37)</f>
        <v>143500</v>
      </c>
      <c r="K38" s="89"/>
      <c r="L38" s="89"/>
      <c r="M38" s="90">
        <f>SUM(M34:M37)</f>
        <v>0</v>
      </c>
      <c r="N38" s="89"/>
      <c r="O38" s="91"/>
      <c r="P38" s="447"/>
    </row>
    <row r="39" spans="1:17" ht="15" customHeight="1">
      <c r="A39" s="74"/>
      <c r="B39" s="75" t="s">
        <v>10</v>
      </c>
      <c r="C39" s="76"/>
      <c r="D39" s="77"/>
      <c r="E39" s="78"/>
      <c r="F39" s="78"/>
      <c r="G39" s="78"/>
      <c r="H39" s="92"/>
      <c r="I39" s="79"/>
      <c r="J39" s="79"/>
      <c r="K39" s="80"/>
      <c r="L39" s="80"/>
      <c r="M39" s="81"/>
      <c r="N39" s="79"/>
      <c r="O39" s="82"/>
      <c r="P39" s="446"/>
    </row>
    <row r="40" spans="1:17" s="118" customFormat="1" ht="30">
      <c r="A40" s="187" t="s">
        <v>82</v>
      </c>
      <c r="B40" s="170" t="s">
        <v>38</v>
      </c>
      <c r="C40" s="170" t="s">
        <v>209</v>
      </c>
      <c r="D40" s="171" t="s">
        <v>145</v>
      </c>
      <c r="E40" s="158">
        <v>15300</v>
      </c>
      <c r="F40" s="158"/>
      <c r="G40" s="158"/>
      <c r="H40" s="151">
        <f>SUM(E40:G40)</f>
        <v>15300</v>
      </c>
      <c r="I40" s="121"/>
      <c r="J40" s="122">
        <v>15300</v>
      </c>
      <c r="K40" s="115" t="s">
        <v>207</v>
      </c>
      <c r="L40" s="115" t="s">
        <v>177</v>
      </c>
      <c r="M40" s="159">
        <v>15300</v>
      </c>
      <c r="N40" s="121" t="s">
        <v>158</v>
      </c>
      <c r="O40" s="123" t="s">
        <v>208</v>
      </c>
      <c r="P40" s="121" t="s">
        <v>158</v>
      </c>
      <c r="Q40" s="441"/>
    </row>
    <row r="41" spans="1:17" s="118" customFormat="1" ht="30">
      <c r="A41" s="189" t="s">
        <v>210</v>
      </c>
      <c r="B41" s="161" t="s">
        <v>211</v>
      </c>
      <c r="C41" s="152" t="s">
        <v>212</v>
      </c>
      <c r="D41" s="153" t="s">
        <v>145</v>
      </c>
      <c r="E41" s="162">
        <v>37000</v>
      </c>
      <c r="F41" s="162"/>
      <c r="G41" s="162"/>
      <c r="H41" s="155">
        <f>SUM(E41:G41)</f>
        <v>37000</v>
      </c>
      <c r="I41" s="121"/>
      <c r="J41" s="163">
        <v>37000</v>
      </c>
      <c r="K41" s="115" t="s">
        <v>207</v>
      </c>
      <c r="L41" s="115" t="s">
        <v>177</v>
      </c>
      <c r="M41" s="163">
        <v>0</v>
      </c>
      <c r="N41" s="121" t="s">
        <v>158</v>
      </c>
      <c r="O41" s="123" t="s">
        <v>208</v>
      </c>
      <c r="P41" s="456" t="s">
        <v>158</v>
      </c>
      <c r="Q41" s="441"/>
    </row>
    <row r="42" spans="1:17" s="118" customFormat="1" ht="20.25" customHeight="1">
      <c r="A42" s="189" t="s">
        <v>213</v>
      </c>
      <c r="B42" s="161" t="s">
        <v>214</v>
      </c>
      <c r="C42" s="152" t="s">
        <v>215</v>
      </c>
      <c r="D42" s="153" t="s">
        <v>145</v>
      </c>
      <c r="E42" s="162">
        <v>15000</v>
      </c>
      <c r="F42" s="162"/>
      <c r="G42" s="162"/>
      <c r="H42" s="155">
        <f t="shared" ref="H42:H69" si="3">SUM(E42:G42)</f>
        <v>15000</v>
      </c>
      <c r="I42" s="121"/>
      <c r="J42" s="163">
        <v>15000</v>
      </c>
      <c r="K42" s="115"/>
      <c r="L42" s="115" t="s">
        <v>216</v>
      </c>
      <c r="M42" s="163">
        <v>28900</v>
      </c>
      <c r="N42" s="121" t="s">
        <v>158</v>
      </c>
      <c r="O42" s="123" t="s">
        <v>217</v>
      </c>
      <c r="P42" s="121" t="s">
        <v>158</v>
      </c>
      <c r="Q42" s="441"/>
    </row>
    <row r="43" spans="1:17" s="483" customFormat="1" ht="30" hidden="1">
      <c r="A43" s="471" t="s">
        <v>218</v>
      </c>
      <c r="B43" s="472" t="s">
        <v>214</v>
      </c>
      <c r="C43" s="473" t="s">
        <v>268</v>
      </c>
      <c r="D43" s="474" t="s">
        <v>145</v>
      </c>
      <c r="E43" s="475"/>
      <c r="F43" s="475"/>
      <c r="G43" s="475"/>
      <c r="H43" s="476">
        <f t="shared" ref="H43" si="4">SUM(E43:G43)</f>
        <v>0</v>
      </c>
      <c r="I43" s="477"/>
      <c r="J43" s="478">
        <v>5100</v>
      </c>
      <c r="K43" s="479"/>
      <c r="L43" s="479" t="s">
        <v>216</v>
      </c>
      <c r="M43" s="480">
        <v>0</v>
      </c>
      <c r="N43" s="477" t="s">
        <v>158</v>
      </c>
      <c r="O43" s="481" t="s">
        <v>219</v>
      </c>
      <c r="P43" s="482" t="s">
        <v>153</v>
      </c>
    </row>
    <row r="44" spans="1:17" s="118" customFormat="1" ht="30">
      <c r="A44" s="189" t="s">
        <v>218</v>
      </c>
      <c r="B44" s="161" t="s">
        <v>214</v>
      </c>
      <c r="C44" s="152" t="s">
        <v>476</v>
      </c>
      <c r="D44" s="153" t="s">
        <v>145</v>
      </c>
      <c r="E44" s="162">
        <v>2200</v>
      </c>
      <c r="F44" s="162"/>
      <c r="G44" s="162"/>
      <c r="H44" s="155">
        <f t="shared" si="3"/>
        <v>2200</v>
      </c>
      <c r="I44" s="121"/>
      <c r="J44" s="163">
        <v>2200</v>
      </c>
      <c r="K44" s="115"/>
      <c r="L44" s="115" t="s">
        <v>216</v>
      </c>
      <c r="M44" s="159">
        <v>0</v>
      </c>
      <c r="N44" s="121" t="s">
        <v>158</v>
      </c>
      <c r="O44" s="123" t="s">
        <v>219</v>
      </c>
      <c r="P44" s="456" t="s">
        <v>158</v>
      </c>
      <c r="Q44" s="441"/>
    </row>
    <row r="45" spans="1:17" s="118" customFormat="1" ht="30">
      <c r="A45" s="189" t="s">
        <v>220</v>
      </c>
      <c r="B45" s="161" t="s">
        <v>214</v>
      </c>
      <c r="C45" s="152" t="s">
        <v>477</v>
      </c>
      <c r="D45" s="153" t="s">
        <v>145</v>
      </c>
      <c r="E45" s="162">
        <v>83500</v>
      </c>
      <c r="F45" s="162"/>
      <c r="G45" s="162"/>
      <c r="H45" s="155">
        <f t="shared" si="3"/>
        <v>83500</v>
      </c>
      <c r="I45" s="121"/>
      <c r="J45" s="163">
        <v>83500</v>
      </c>
      <c r="K45" s="115"/>
      <c r="L45" s="115" t="s">
        <v>216</v>
      </c>
      <c r="M45" s="163">
        <v>0</v>
      </c>
      <c r="N45" s="121" t="s">
        <v>158</v>
      </c>
      <c r="O45" s="123" t="s">
        <v>221</v>
      </c>
      <c r="P45" s="121" t="s">
        <v>158</v>
      </c>
      <c r="Q45" s="441"/>
    </row>
    <row r="46" spans="1:17" s="118" customFormat="1" ht="30">
      <c r="A46" s="192">
        <v>50032</v>
      </c>
      <c r="B46" s="161" t="s">
        <v>222</v>
      </c>
      <c r="C46" s="152" t="s">
        <v>223</v>
      </c>
      <c r="D46" s="153" t="s">
        <v>145</v>
      </c>
      <c r="E46" s="162">
        <f>26775+25</f>
        <v>26800</v>
      </c>
      <c r="F46" s="162"/>
      <c r="G46" s="162"/>
      <c r="H46" s="155">
        <f t="shared" si="3"/>
        <v>26800</v>
      </c>
      <c r="I46" s="121"/>
      <c r="J46" s="163">
        <v>25800</v>
      </c>
      <c r="K46" s="115"/>
      <c r="L46" s="115" t="s">
        <v>216</v>
      </c>
      <c r="M46" s="163">
        <v>0</v>
      </c>
      <c r="N46" s="121" t="s">
        <v>158</v>
      </c>
      <c r="O46" s="123" t="s">
        <v>221</v>
      </c>
      <c r="P46" s="456" t="s">
        <v>158</v>
      </c>
      <c r="Q46" s="441"/>
    </row>
    <row r="47" spans="1:17" s="118" customFormat="1" ht="30">
      <c r="A47" s="189" t="s">
        <v>224</v>
      </c>
      <c r="B47" s="161" t="s">
        <v>214</v>
      </c>
      <c r="C47" s="152" t="s">
        <v>478</v>
      </c>
      <c r="D47" s="153" t="s">
        <v>145</v>
      </c>
      <c r="E47" s="162">
        <v>5300</v>
      </c>
      <c r="F47" s="162"/>
      <c r="G47" s="162"/>
      <c r="H47" s="155">
        <f t="shared" si="3"/>
        <v>5300</v>
      </c>
      <c r="I47" s="121"/>
      <c r="J47" s="163">
        <v>5300</v>
      </c>
      <c r="K47" s="115"/>
      <c r="L47" s="115" t="s">
        <v>216</v>
      </c>
      <c r="M47" s="163">
        <v>0</v>
      </c>
      <c r="N47" s="121" t="s">
        <v>158</v>
      </c>
      <c r="O47" s="123" t="s">
        <v>145</v>
      </c>
      <c r="P47" s="121" t="s">
        <v>158</v>
      </c>
      <c r="Q47" s="441"/>
    </row>
    <row r="48" spans="1:17" s="118" customFormat="1" ht="30">
      <c r="A48" s="189" t="s">
        <v>225</v>
      </c>
      <c r="B48" s="161" t="s">
        <v>214</v>
      </c>
      <c r="C48" s="152" t="s">
        <v>479</v>
      </c>
      <c r="D48" s="153" t="s">
        <v>145</v>
      </c>
      <c r="E48" s="162">
        <v>60000</v>
      </c>
      <c r="F48" s="162"/>
      <c r="G48" s="162"/>
      <c r="H48" s="155">
        <f t="shared" si="3"/>
        <v>60000</v>
      </c>
      <c r="I48" s="121"/>
      <c r="J48" s="163">
        <v>60000</v>
      </c>
      <c r="K48" s="115"/>
      <c r="L48" s="115" t="s">
        <v>216</v>
      </c>
      <c r="M48" s="163">
        <v>0</v>
      </c>
      <c r="N48" s="121" t="s">
        <v>158</v>
      </c>
      <c r="O48" s="123" t="s">
        <v>219</v>
      </c>
      <c r="P48" s="456" t="s">
        <v>158</v>
      </c>
      <c r="Q48" s="441"/>
    </row>
    <row r="49" spans="1:17" s="118" customFormat="1" ht="30">
      <c r="A49" s="189" t="s">
        <v>226</v>
      </c>
      <c r="B49" s="161" t="s">
        <v>214</v>
      </c>
      <c r="C49" s="152" t="s">
        <v>480</v>
      </c>
      <c r="D49" s="153" t="s">
        <v>145</v>
      </c>
      <c r="E49" s="162">
        <f>10182+18</f>
        <v>10200</v>
      </c>
      <c r="F49" s="162"/>
      <c r="G49" s="162"/>
      <c r="H49" s="155">
        <f t="shared" si="3"/>
        <v>10200</v>
      </c>
      <c r="I49" s="121"/>
      <c r="J49" s="163">
        <v>10100</v>
      </c>
      <c r="K49" s="115"/>
      <c r="L49" s="115" t="s">
        <v>216</v>
      </c>
      <c r="M49" s="163">
        <v>0</v>
      </c>
      <c r="N49" s="121" t="s">
        <v>158</v>
      </c>
      <c r="O49" s="123" t="s">
        <v>219</v>
      </c>
      <c r="P49" s="121" t="s">
        <v>158</v>
      </c>
      <c r="Q49" s="441"/>
    </row>
    <row r="50" spans="1:17" s="118" customFormat="1" ht="30">
      <c r="A50" s="189" t="s">
        <v>227</v>
      </c>
      <c r="B50" s="161" t="s">
        <v>214</v>
      </c>
      <c r="C50" s="152" t="s">
        <v>481</v>
      </c>
      <c r="D50" s="153" t="s">
        <v>145</v>
      </c>
      <c r="E50" s="162">
        <v>20000</v>
      </c>
      <c r="F50" s="162">
        <v>5000</v>
      </c>
      <c r="G50" s="162"/>
      <c r="H50" s="155">
        <f t="shared" si="3"/>
        <v>25000</v>
      </c>
      <c r="I50" s="121"/>
      <c r="J50" s="163">
        <v>25000</v>
      </c>
      <c r="K50" s="115"/>
      <c r="L50" s="115" t="s">
        <v>216</v>
      </c>
      <c r="M50" s="163">
        <v>0</v>
      </c>
      <c r="N50" s="121" t="s">
        <v>158</v>
      </c>
      <c r="O50" s="123" t="s">
        <v>219</v>
      </c>
      <c r="P50" s="456" t="s">
        <v>158</v>
      </c>
      <c r="Q50" s="441"/>
    </row>
    <row r="51" spans="1:17" s="118" customFormat="1" ht="30">
      <c r="A51" s="189" t="s">
        <v>228</v>
      </c>
      <c r="B51" s="458" t="s">
        <v>214</v>
      </c>
      <c r="C51" s="459" t="s">
        <v>482</v>
      </c>
      <c r="D51" s="460" t="s">
        <v>145</v>
      </c>
      <c r="E51" s="461">
        <v>30000</v>
      </c>
      <c r="F51" s="461"/>
      <c r="G51" s="461"/>
      <c r="H51" s="462">
        <f t="shared" si="3"/>
        <v>30000</v>
      </c>
      <c r="I51" s="121"/>
      <c r="J51" s="122">
        <v>30000</v>
      </c>
      <c r="K51" s="115"/>
      <c r="L51" s="115" t="s">
        <v>216</v>
      </c>
      <c r="M51" s="463">
        <v>0</v>
      </c>
      <c r="N51" s="121" t="s">
        <v>158</v>
      </c>
      <c r="O51" s="123" t="s">
        <v>219</v>
      </c>
      <c r="P51" s="121" t="s">
        <v>158</v>
      </c>
      <c r="Q51" s="441"/>
    </row>
    <row r="52" spans="1:17" s="118" customFormat="1" ht="30">
      <c r="A52" s="189" t="s">
        <v>229</v>
      </c>
      <c r="B52" s="161" t="s">
        <v>214</v>
      </c>
      <c r="C52" s="152" t="s">
        <v>483</v>
      </c>
      <c r="D52" s="153" t="s">
        <v>145</v>
      </c>
      <c r="E52" s="162">
        <f>79318-18</f>
        <v>79300</v>
      </c>
      <c r="F52" s="162"/>
      <c r="G52" s="162"/>
      <c r="H52" s="155">
        <f t="shared" si="3"/>
        <v>79300</v>
      </c>
      <c r="I52" s="456"/>
      <c r="J52" s="163">
        <v>79300</v>
      </c>
      <c r="K52" s="464"/>
      <c r="L52" s="464" t="s">
        <v>216</v>
      </c>
      <c r="M52" s="163">
        <v>0</v>
      </c>
      <c r="N52" s="456" t="s">
        <v>158</v>
      </c>
      <c r="O52" s="465" t="s">
        <v>221</v>
      </c>
      <c r="P52" s="456" t="s">
        <v>158</v>
      </c>
      <c r="Q52" s="441"/>
    </row>
    <row r="53" spans="1:17" s="483" customFormat="1" ht="27.75" hidden="1" customHeight="1">
      <c r="A53" s="484" t="s">
        <v>501</v>
      </c>
      <c r="B53" s="485" t="s">
        <v>2</v>
      </c>
      <c r="C53" s="486" t="s">
        <v>268</v>
      </c>
      <c r="D53" s="487" t="s">
        <v>145</v>
      </c>
      <c r="E53" s="488"/>
      <c r="F53" s="488"/>
      <c r="G53" s="488"/>
      <c r="H53" s="489">
        <f t="shared" ref="H53" si="5">SUM(E53:G53)</f>
        <v>0</v>
      </c>
      <c r="I53" s="477"/>
      <c r="J53" s="480">
        <v>5100</v>
      </c>
      <c r="K53" s="479"/>
      <c r="L53" s="479" t="s">
        <v>152</v>
      </c>
      <c r="M53" s="480">
        <v>0</v>
      </c>
      <c r="N53" s="477" t="s">
        <v>153</v>
      </c>
      <c r="O53" s="481" t="s">
        <v>232</v>
      </c>
      <c r="P53" s="490" t="s">
        <v>153</v>
      </c>
    </row>
    <row r="54" spans="1:17" s="483" customFormat="1" ht="27.75" hidden="1" customHeight="1">
      <c r="A54" s="484" t="s">
        <v>498</v>
      </c>
      <c r="B54" s="472"/>
      <c r="C54" s="473"/>
      <c r="D54" s="474"/>
      <c r="E54" s="475"/>
      <c r="F54" s="475"/>
      <c r="G54" s="475"/>
      <c r="H54" s="476"/>
      <c r="I54" s="477"/>
      <c r="J54" s="478">
        <v>-2180</v>
      </c>
      <c r="K54" s="479"/>
      <c r="L54" s="479"/>
      <c r="M54" s="478"/>
      <c r="N54" s="477"/>
      <c r="O54" s="481"/>
      <c r="P54" s="490"/>
    </row>
    <row r="55" spans="1:17" s="483" customFormat="1" ht="27.75" hidden="1" customHeight="1">
      <c r="A55" s="484" t="s">
        <v>230</v>
      </c>
      <c r="B55" s="472"/>
      <c r="C55" s="473"/>
      <c r="D55" s="474"/>
      <c r="E55" s="475"/>
      <c r="F55" s="475"/>
      <c r="G55" s="475"/>
      <c r="H55" s="476"/>
      <c r="I55" s="477"/>
      <c r="J55" s="478">
        <v>105880</v>
      </c>
      <c r="K55" s="479"/>
      <c r="L55" s="479"/>
      <c r="M55" s="478"/>
      <c r="N55" s="477"/>
      <c r="O55" s="481"/>
      <c r="P55" s="490"/>
    </row>
    <row r="56" spans="1:17" s="483" customFormat="1" ht="27.75" hidden="1" customHeight="1">
      <c r="A56" s="484" t="s">
        <v>230</v>
      </c>
      <c r="B56" s="472" t="s">
        <v>2</v>
      </c>
      <c r="C56" s="473" t="s">
        <v>231</v>
      </c>
      <c r="D56" s="474" t="s">
        <v>145</v>
      </c>
      <c r="E56" s="475"/>
      <c r="F56" s="475"/>
      <c r="G56" s="475"/>
      <c r="H56" s="476">
        <f t="shared" si="3"/>
        <v>0</v>
      </c>
      <c r="I56" s="491"/>
      <c r="J56" s="478">
        <v>103700</v>
      </c>
      <c r="K56" s="492"/>
      <c r="L56" s="492" t="s">
        <v>152</v>
      </c>
      <c r="M56" s="478">
        <v>0</v>
      </c>
      <c r="N56" s="491" t="s">
        <v>153</v>
      </c>
      <c r="O56" s="493" t="s">
        <v>232</v>
      </c>
      <c r="P56" s="490" t="s">
        <v>153</v>
      </c>
    </row>
    <row r="57" spans="1:17" s="118" customFormat="1" hidden="1">
      <c r="A57" s="113" t="s">
        <v>233</v>
      </c>
      <c r="B57" s="120"/>
      <c r="C57" s="97"/>
      <c r="D57" s="98"/>
      <c r="E57" s="114">
        <v>25055</v>
      </c>
      <c r="F57" s="114"/>
      <c r="G57" s="114"/>
      <c r="H57" s="100">
        <f t="shared" si="3"/>
        <v>25055</v>
      </c>
      <c r="I57" s="121"/>
      <c r="J57" s="122">
        <v>25100</v>
      </c>
      <c r="K57" s="115"/>
      <c r="L57" s="115"/>
      <c r="M57" s="122"/>
      <c r="N57" s="121"/>
      <c r="O57" s="123"/>
      <c r="P57" s="452"/>
    </row>
    <row r="58" spans="1:17" s="118" customFormat="1" hidden="1">
      <c r="A58" s="113" t="s">
        <v>234</v>
      </c>
      <c r="B58" s="120"/>
      <c r="C58" s="97"/>
      <c r="D58" s="98"/>
      <c r="E58" s="114">
        <v>166</v>
      </c>
      <c r="F58" s="114"/>
      <c r="G58" s="114"/>
      <c r="H58" s="100">
        <f t="shared" si="3"/>
        <v>166</v>
      </c>
      <c r="I58" s="121"/>
      <c r="J58" s="122">
        <v>200</v>
      </c>
      <c r="K58" s="115"/>
      <c r="L58" s="115"/>
      <c r="M58" s="122"/>
      <c r="N58" s="121"/>
      <c r="O58" s="123"/>
      <c r="P58" s="452"/>
    </row>
    <row r="59" spans="1:17" s="118" customFormat="1" hidden="1">
      <c r="A59" s="113" t="s">
        <v>235</v>
      </c>
      <c r="B59" s="120"/>
      <c r="C59" s="97"/>
      <c r="D59" s="98"/>
      <c r="E59" s="114">
        <v>7996</v>
      </c>
      <c r="F59" s="114"/>
      <c r="G59" s="114"/>
      <c r="H59" s="100">
        <f t="shared" si="3"/>
        <v>7996</v>
      </c>
      <c r="I59" s="121"/>
      <c r="J59" s="122">
        <v>8000</v>
      </c>
      <c r="K59" s="115"/>
      <c r="L59" s="115"/>
      <c r="M59" s="122"/>
      <c r="N59" s="121"/>
      <c r="O59" s="123"/>
      <c r="P59" s="452"/>
    </row>
    <row r="60" spans="1:17" s="118" customFormat="1" hidden="1">
      <c r="A60" s="113" t="s">
        <v>236</v>
      </c>
      <c r="B60" s="120"/>
      <c r="C60" s="97"/>
      <c r="D60" s="98"/>
      <c r="E60" s="114">
        <v>1458</v>
      </c>
      <c r="F60" s="114"/>
      <c r="G60" s="114"/>
      <c r="H60" s="100">
        <f t="shared" si="3"/>
        <v>1458</v>
      </c>
      <c r="I60" s="121"/>
      <c r="J60" s="122">
        <v>1400</v>
      </c>
      <c r="K60" s="115"/>
      <c r="L60" s="115"/>
      <c r="M60" s="122"/>
      <c r="N60" s="121"/>
      <c r="O60" s="123"/>
      <c r="P60" s="452"/>
    </row>
    <row r="61" spans="1:17" s="118" customFormat="1" ht="20.25" customHeight="1">
      <c r="A61" s="113"/>
      <c r="B61" s="170" t="s">
        <v>237</v>
      </c>
      <c r="C61" s="148" t="s">
        <v>238</v>
      </c>
      <c r="D61" s="149" t="s">
        <v>145</v>
      </c>
      <c r="E61" s="158">
        <f>SUM(E57:E60)+25</f>
        <v>34700</v>
      </c>
      <c r="F61" s="158">
        <f>SUM(F57:F60)</f>
        <v>0</v>
      </c>
      <c r="G61" s="158">
        <f>SUM(G57:G60)</f>
        <v>0</v>
      </c>
      <c r="H61" s="151">
        <f>SUM(H57:H60)+25</f>
        <v>34700</v>
      </c>
      <c r="I61" s="121"/>
      <c r="J61" s="122">
        <f>SUM(J57:J60)</f>
        <v>34700</v>
      </c>
      <c r="K61" s="115"/>
      <c r="L61" s="115" t="s">
        <v>216</v>
      </c>
      <c r="M61" s="159">
        <f>SUM(M57:M60)</f>
        <v>0</v>
      </c>
      <c r="N61" s="121" t="s">
        <v>153</v>
      </c>
      <c r="O61" s="123"/>
      <c r="P61" s="453" t="s">
        <v>153</v>
      </c>
    </row>
    <row r="62" spans="1:17" s="118" customFormat="1" ht="30">
      <c r="A62" s="187" t="s">
        <v>239</v>
      </c>
      <c r="B62" s="161" t="s">
        <v>237</v>
      </c>
      <c r="C62" s="152" t="s">
        <v>240</v>
      </c>
      <c r="D62" s="153" t="s">
        <v>145</v>
      </c>
      <c r="E62" s="162">
        <v>175000</v>
      </c>
      <c r="F62" s="162"/>
      <c r="G62" s="162"/>
      <c r="H62" s="155">
        <f t="shared" ref="H62:H67" si="6">SUM(E62:G62)</f>
        <v>175000</v>
      </c>
      <c r="I62" s="121"/>
      <c r="J62" s="163">
        <f>175000-4000</f>
        <v>171000</v>
      </c>
      <c r="K62" s="115"/>
      <c r="L62" s="115" t="s">
        <v>216</v>
      </c>
      <c r="M62" s="163">
        <v>0</v>
      </c>
      <c r="N62" s="121" t="s">
        <v>158</v>
      </c>
      <c r="O62" s="123" t="s">
        <v>241</v>
      </c>
      <c r="P62" s="121" t="s">
        <v>158</v>
      </c>
      <c r="Q62" s="441"/>
    </row>
    <row r="63" spans="1:17" s="118" customFormat="1" hidden="1">
      <c r="A63" s="113" t="s">
        <v>242</v>
      </c>
      <c r="B63" s="120"/>
      <c r="C63" s="97"/>
      <c r="D63" s="98"/>
      <c r="E63" s="114">
        <v>13000</v>
      </c>
      <c r="F63" s="114"/>
      <c r="G63" s="114"/>
      <c r="H63" s="100">
        <f t="shared" si="6"/>
        <v>13000</v>
      </c>
      <c r="I63" s="121"/>
      <c r="J63" s="122">
        <v>13000</v>
      </c>
      <c r="K63" s="115"/>
      <c r="L63" s="115"/>
      <c r="M63" s="122"/>
      <c r="N63" s="121"/>
      <c r="O63" s="123"/>
      <c r="P63" s="452"/>
    </row>
    <row r="64" spans="1:17" s="118" customFormat="1" hidden="1">
      <c r="A64" s="113" t="s">
        <v>243</v>
      </c>
      <c r="B64" s="120"/>
      <c r="C64" s="97"/>
      <c r="D64" s="98"/>
      <c r="E64" s="114">
        <v>1000</v>
      </c>
      <c r="F64" s="114"/>
      <c r="G64" s="114"/>
      <c r="H64" s="100">
        <f t="shared" si="6"/>
        <v>1000</v>
      </c>
      <c r="I64" s="121"/>
      <c r="J64" s="122">
        <v>1000</v>
      </c>
      <c r="K64" s="115"/>
      <c r="L64" s="115"/>
      <c r="M64" s="122"/>
      <c r="N64" s="121"/>
      <c r="O64" s="123"/>
      <c r="P64" s="452"/>
    </row>
    <row r="65" spans="1:17" s="118" customFormat="1" hidden="1">
      <c r="A65" s="113" t="s">
        <v>244</v>
      </c>
      <c r="B65" s="120"/>
      <c r="C65" s="97"/>
      <c r="D65" s="98"/>
      <c r="E65" s="114">
        <v>2000</v>
      </c>
      <c r="F65" s="114"/>
      <c r="G65" s="114"/>
      <c r="H65" s="100">
        <f t="shared" si="6"/>
        <v>2000</v>
      </c>
      <c r="I65" s="121"/>
      <c r="J65" s="122">
        <v>2000</v>
      </c>
      <c r="K65" s="115"/>
      <c r="L65" s="115"/>
      <c r="M65" s="122"/>
      <c r="N65" s="121"/>
      <c r="O65" s="123"/>
      <c r="P65" s="452"/>
    </row>
    <row r="66" spans="1:17" s="118" customFormat="1" hidden="1">
      <c r="A66" s="113" t="s">
        <v>245</v>
      </c>
      <c r="B66" s="120"/>
      <c r="C66" s="97"/>
      <c r="D66" s="98"/>
      <c r="E66" s="114">
        <v>500</v>
      </c>
      <c r="F66" s="114"/>
      <c r="G66" s="114"/>
      <c r="H66" s="100">
        <f t="shared" si="6"/>
        <v>500</v>
      </c>
      <c r="I66" s="121"/>
      <c r="J66" s="122">
        <v>500</v>
      </c>
      <c r="K66" s="115"/>
      <c r="L66" s="115"/>
      <c r="M66" s="122"/>
      <c r="N66" s="121"/>
      <c r="O66" s="123"/>
      <c r="P66" s="452"/>
    </row>
    <row r="67" spans="1:17" s="118" customFormat="1" hidden="1">
      <c r="A67" s="113" t="s">
        <v>246</v>
      </c>
      <c r="B67" s="120"/>
      <c r="C67" s="97"/>
      <c r="D67" s="98"/>
      <c r="E67" s="114">
        <v>500</v>
      </c>
      <c r="F67" s="114"/>
      <c r="G67" s="114"/>
      <c r="H67" s="100">
        <f t="shared" si="6"/>
        <v>500</v>
      </c>
      <c r="I67" s="121"/>
      <c r="J67" s="122">
        <v>500</v>
      </c>
      <c r="K67" s="115"/>
      <c r="L67" s="115"/>
      <c r="M67" s="122"/>
      <c r="N67" s="121"/>
      <c r="O67" s="123"/>
      <c r="P67" s="452"/>
    </row>
    <row r="68" spans="1:17" s="118" customFormat="1" ht="18.75" customHeight="1">
      <c r="A68" s="113"/>
      <c r="B68" s="170" t="s">
        <v>237</v>
      </c>
      <c r="C68" s="148" t="s">
        <v>238</v>
      </c>
      <c r="D68" s="149" t="s">
        <v>145</v>
      </c>
      <c r="E68" s="158">
        <f>SUM(E63:E67)</f>
        <v>17000</v>
      </c>
      <c r="F68" s="158">
        <f>SUM(F63:F67)</f>
        <v>0</v>
      </c>
      <c r="G68" s="158">
        <f>SUM(G63:G67)</f>
        <v>0</v>
      </c>
      <c r="H68" s="151">
        <f>SUM(H63:H67)</f>
        <v>17000</v>
      </c>
      <c r="I68" s="121"/>
      <c r="J68" s="163">
        <f>SUM(J63:J67)</f>
        <v>17000</v>
      </c>
      <c r="K68" s="115"/>
      <c r="L68" s="115" t="s">
        <v>216</v>
      </c>
      <c r="M68" s="159">
        <f>SUM(M63:M67)</f>
        <v>0</v>
      </c>
      <c r="N68" s="121" t="s">
        <v>153</v>
      </c>
      <c r="O68" s="123"/>
      <c r="P68" s="453" t="s">
        <v>158</v>
      </c>
    </row>
    <row r="69" spans="1:17" s="118" customFormat="1" ht="18.75" customHeight="1" thickBot="1">
      <c r="A69" s="187" t="s">
        <v>74</v>
      </c>
      <c r="B69" s="161" t="s">
        <v>237</v>
      </c>
      <c r="C69" s="152" t="s">
        <v>247</v>
      </c>
      <c r="D69" s="181" t="s">
        <v>145</v>
      </c>
      <c r="E69" s="114">
        <v>9200</v>
      </c>
      <c r="F69" s="114"/>
      <c r="G69" s="114"/>
      <c r="H69" s="100">
        <f t="shared" si="3"/>
        <v>9200</v>
      </c>
      <c r="I69" s="121"/>
      <c r="J69" s="122">
        <f>35500-26300</f>
        <v>9200</v>
      </c>
      <c r="K69" s="115"/>
      <c r="L69" s="115" t="s">
        <v>216</v>
      </c>
      <c r="M69" s="122">
        <v>8700</v>
      </c>
      <c r="N69" s="121" t="s">
        <v>158</v>
      </c>
      <c r="O69" s="123" t="s">
        <v>145</v>
      </c>
      <c r="P69" s="121" t="s">
        <v>158</v>
      </c>
      <c r="Q69" s="441"/>
    </row>
    <row r="70" spans="1:17" ht="16.5" thickBot="1">
      <c r="A70" s="84"/>
      <c r="B70" s="85"/>
      <c r="C70" s="85"/>
      <c r="D70" s="86"/>
      <c r="E70" s="124">
        <f>SUM(E40:E69)-SUM(E57:E60)-SUM(E63:E67)</f>
        <v>620500</v>
      </c>
      <c r="F70" s="124">
        <f>SUM(F40:F69)-SUM(F57:F60)-SUM(F63:F67)</f>
        <v>5000</v>
      </c>
      <c r="G70" s="124">
        <f>SUM(G40:G69)-SUM(G57:G60)-SUM(G63:G67)</f>
        <v>0</v>
      </c>
      <c r="H70" s="124">
        <f>SUM(H40:H69)-SUM(H57:H60)-SUM(H63:H67)</f>
        <v>625500</v>
      </c>
      <c r="I70" s="125"/>
      <c r="J70" s="124">
        <f>SUM(J40:J69)-SUM(J57:J60)-SUM(J63:J67)</f>
        <v>838000</v>
      </c>
      <c r="K70" s="126"/>
      <c r="L70" s="126"/>
      <c r="M70" s="90">
        <f>SUM(M40:M69)-SUM(M57:M60)-SUM(M63:M67)</f>
        <v>52900</v>
      </c>
      <c r="N70" s="89"/>
      <c r="O70" s="91"/>
      <c r="P70" s="447"/>
    </row>
    <row r="71" spans="1:17" ht="15" customHeight="1">
      <c r="A71" s="74"/>
      <c r="B71" s="56" t="s">
        <v>248</v>
      </c>
      <c r="C71" s="127"/>
      <c r="D71" s="128"/>
      <c r="E71" s="129"/>
      <c r="F71" s="130"/>
      <c r="G71" s="108"/>
      <c r="H71" s="109"/>
      <c r="I71" s="92"/>
      <c r="J71" s="109"/>
      <c r="K71" s="80"/>
      <c r="L71" s="80"/>
      <c r="M71" s="110"/>
      <c r="N71" s="111"/>
      <c r="O71" s="112"/>
      <c r="P71" s="448"/>
    </row>
    <row r="72" spans="1:17" s="118" customFormat="1" ht="30">
      <c r="A72" s="113" t="s">
        <v>75</v>
      </c>
      <c r="B72" s="172" t="s">
        <v>28</v>
      </c>
      <c r="C72" s="172" t="s">
        <v>249</v>
      </c>
      <c r="D72" s="173" t="s">
        <v>145</v>
      </c>
      <c r="E72" s="174">
        <v>37600</v>
      </c>
      <c r="F72" s="151"/>
      <c r="G72" s="174"/>
      <c r="H72" s="151">
        <f>SUM(E72:G72)</f>
        <v>37600</v>
      </c>
      <c r="I72" s="100"/>
      <c r="J72" s="100">
        <v>37600</v>
      </c>
      <c r="K72" s="115" t="s">
        <v>168</v>
      </c>
      <c r="L72" s="115" t="s">
        <v>181</v>
      </c>
      <c r="M72" s="159">
        <v>20000</v>
      </c>
      <c r="N72" s="121" t="s">
        <v>146</v>
      </c>
      <c r="O72" s="123" t="s">
        <v>250</v>
      </c>
      <c r="P72" s="121" t="s">
        <v>158</v>
      </c>
      <c r="Q72" s="441"/>
    </row>
    <row r="73" spans="1:17" s="104" customFormat="1" ht="45.75" thickBot="1">
      <c r="A73" s="96" t="s">
        <v>251</v>
      </c>
      <c r="B73" s="175" t="s">
        <v>89</v>
      </c>
      <c r="C73" s="175" t="s">
        <v>266</v>
      </c>
      <c r="D73" s="131" t="s">
        <v>145</v>
      </c>
      <c r="E73" s="132">
        <v>19200</v>
      </c>
      <c r="F73" s="119"/>
      <c r="G73" s="132"/>
      <c r="H73" s="119">
        <f>SUM(E73:G73)</f>
        <v>19200</v>
      </c>
      <c r="I73" s="119"/>
      <c r="J73" s="119">
        <v>19200</v>
      </c>
      <c r="K73" s="101" t="s">
        <v>168</v>
      </c>
      <c r="L73" s="101" t="s">
        <v>181</v>
      </c>
      <c r="M73" s="133">
        <v>0</v>
      </c>
      <c r="N73" s="123" t="s">
        <v>158</v>
      </c>
      <c r="O73" s="123" t="s">
        <v>252</v>
      </c>
      <c r="P73" s="121" t="s">
        <v>158</v>
      </c>
      <c r="Q73" s="441"/>
    </row>
    <row r="74" spans="1:17" ht="16.5" thickBot="1">
      <c r="A74" s="84"/>
      <c r="B74" s="85"/>
      <c r="C74" s="85"/>
      <c r="D74" s="86"/>
      <c r="E74" s="134">
        <f>SUM(E72:E73)</f>
        <v>56800</v>
      </c>
      <c r="F74" s="124">
        <f>SUM(F72:F73)</f>
        <v>0</v>
      </c>
      <c r="G74" s="135">
        <f>SUM(G72:G73)</f>
        <v>0</v>
      </c>
      <c r="H74" s="124">
        <f>SUM(H72:H73)</f>
        <v>56800</v>
      </c>
      <c r="I74" s="125"/>
      <c r="J74" s="124">
        <f>SUM(J72:J73)</f>
        <v>56800</v>
      </c>
      <c r="K74" s="126"/>
      <c r="L74" s="126"/>
      <c r="M74" s="90">
        <f>SUM(M72:M73)</f>
        <v>20000</v>
      </c>
      <c r="N74" s="89"/>
      <c r="O74" s="91"/>
      <c r="P74" s="447"/>
    </row>
    <row r="75" spans="1:17" ht="15" customHeight="1">
      <c r="A75" s="74"/>
      <c r="B75" s="75" t="s">
        <v>76</v>
      </c>
      <c r="C75" s="106"/>
      <c r="D75" s="136"/>
      <c r="E75" s="129"/>
      <c r="F75" s="130"/>
      <c r="G75" s="108"/>
      <c r="H75" s="92"/>
      <c r="I75" s="92"/>
      <c r="J75" s="109"/>
      <c r="K75" s="111"/>
      <c r="L75" s="111"/>
      <c r="M75" s="110"/>
      <c r="N75" s="111"/>
      <c r="O75" s="112"/>
      <c r="P75" s="448"/>
    </row>
    <row r="76" spans="1:17" s="104" customFormat="1" ht="30">
      <c r="A76" s="96" t="s">
        <v>83</v>
      </c>
      <c r="B76" s="148" t="s">
        <v>253</v>
      </c>
      <c r="C76" s="148" t="s">
        <v>254</v>
      </c>
      <c r="D76" s="176" t="s">
        <v>145</v>
      </c>
      <c r="E76" s="177">
        <v>25300</v>
      </c>
      <c r="F76" s="164"/>
      <c r="G76" s="177"/>
      <c r="H76" s="164">
        <f>SUM(E76:G76)</f>
        <v>25300</v>
      </c>
      <c r="I76" s="119"/>
      <c r="J76" s="119">
        <v>25300</v>
      </c>
      <c r="K76" s="123" t="s">
        <v>151</v>
      </c>
      <c r="L76" s="123" t="s">
        <v>152</v>
      </c>
      <c r="M76" s="156">
        <v>40000</v>
      </c>
      <c r="N76" s="123" t="s">
        <v>146</v>
      </c>
      <c r="O76" s="123" t="s">
        <v>167</v>
      </c>
      <c r="P76" s="454" t="s">
        <v>158</v>
      </c>
    </row>
    <row r="77" spans="1:17" s="104" customFormat="1" ht="15.75" thickBot="1">
      <c r="A77" s="96" t="s">
        <v>255</v>
      </c>
      <c r="B77" s="152" t="s">
        <v>256</v>
      </c>
      <c r="C77" s="152" t="s">
        <v>257</v>
      </c>
      <c r="D77" s="101" t="s">
        <v>145</v>
      </c>
      <c r="E77" s="132">
        <v>6000</v>
      </c>
      <c r="F77" s="119"/>
      <c r="G77" s="132"/>
      <c r="H77" s="119">
        <f>SUM(E77:G77)</f>
        <v>6000</v>
      </c>
      <c r="I77" s="119"/>
      <c r="J77" s="432">
        <v>6000</v>
      </c>
      <c r="K77" s="123" t="s">
        <v>258</v>
      </c>
      <c r="L77" s="123" t="s">
        <v>152</v>
      </c>
      <c r="M77" s="133">
        <v>0</v>
      </c>
      <c r="N77" s="123" t="s">
        <v>153</v>
      </c>
      <c r="O77" s="123" t="s">
        <v>167</v>
      </c>
      <c r="P77" s="451" t="s">
        <v>153</v>
      </c>
    </row>
    <row r="78" spans="1:17" ht="15.75" customHeight="1" thickBot="1">
      <c r="A78" s="84"/>
      <c r="B78" s="85"/>
      <c r="C78" s="85"/>
      <c r="D78" s="72"/>
      <c r="E78" s="137">
        <f>SUM(E76:E77)</f>
        <v>31300</v>
      </c>
      <c r="F78" s="87">
        <f>SUM(F76:F77)</f>
        <v>0</v>
      </c>
      <c r="G78" s="138">
        <f>SUM(G76:G77)</f>
        <v>0</v>
      </c>
      <c r="H78" s="87">
        <f>SUM(H76:H77)</f>
        <v>31300</v>
      </c>
      <c r="I78" s="88"/>
      <c r="J78" s="87">
        <f>SUM(J76:J77)</f>
        <v>31300</v>
      </c>
      <c r="K78" s="89"/>
      <c r="L78" s="89"/>
      <c r="M78" s="90">
        <f>SUM(M76:M77)</f>
        <v>40000</v>
      </c>
      <c r="N78" s="89"/>
      <c r="O78" s="91"/>
      <c r="P78" s="447"/>
    </row>
    <row r="79" spans="1:17" s="139" customFormat="1" ht="16.5" thickBot="1">
      <c r="B79" s="140" t="s">
        <v>259</v>
      </c>
      <c r="C79" s="141"/>
      <c r="D79" s="142"/>
      <c r="E79" s="135">
        <f>SUM(E78+E38+E32+E74+E70+E15)</f>
        <v>1517999.88</v>
      </c>
      <c r="F79" s="124">
        <f>SUM(F78+F38+F32+F74+F70+F15)</f>
        <v>34000</v>
      </c>
      <c r="G79" s="124">
        <f>SUM(G78+G38+G32+G74+G70+G15)</f>
        <v>0</v>
      </c>
      <c r="H79" s="124">
        <f>SUM(H78+H38+H32+H74+H70+H15)</f>
        <v>1551999.88</v>
      </c>
      <c r="I79" s="125"/>
      <c r="J79" s="124">
        <f>SUM(J78+J38+J32+J74+J70+J15)</f>
        <v>1751800</v>
      </c>
      <c r="K79" s="126"/>
      <c r="L79" s="126"/>
      <c r="M79" s="90">
        <f>SUM(M78+M38+M32+M74+M70+M15)</f>
        <v>409700</v>
      </c>
      <c r="N79" s="89"/>
      <c r="O79" s="91"/>
      <c r="P79" s="447"/>
    </row>
    <row r="80" spans="1:17">
      <c r="M80" s="143"/>
    </row>
    <row r="81" spans="1:16" ht="15.75">
      <c r="B81" s="144" t="s">
        <v>260</v>
      </c>
      <c r="M81" s="143"/>
    </row>
    <row r="82" spans="1:16">
      <c r="A82" s="46" t="s">
        <v>158</v>
      </c>
      <c r="B82" s="48" t="s">
        <v>261</v>
      </c>
      <c r="H82" s="50">
        <f>SUMIF($P$14:$P$79,$A$82:$A$84,$H$14:$H$79)</f>
        <v>1480299.88</v>
      </c>
      <c r="J82" s="50">
        <f>SUMIF($P$14:$P$79,$A$82:$A$84,$J$14:$J$79)</f>
        <v>1462500</v>
      </c>
      <c r="M82" s="143"/>
    </row>
    <row r="83" spans="1:16">
      <c r="A83" s="46" t="s">
        <v>153</v>
      </c>
      <c r="B83" s="48" t="s">
        <v>262</v>
      </c>
      <c r="H83" s="50">
        <f>SUMIF($P$14:$P$79,$A$82:$A$84,$H$14:$H$79)</f>
        <v>71700</v>
      </c>
      <c r="J83" s="50">
        <f>SUMIF($P$14:$P$79,$A$82:$A$84,$J$14:$J$79)</f>
        <v>185600</v>
      </c>
      <c r="M83" s="143"/>
    </row>
    <row r="84" spans="1:16">
      <c r="H84" s="51"/>
      <c r="J84" s="51"/>
      <c r="M84" s="145"/>
      <c r="N84" s="146"/>
      <c r="O84" s="147"/>
      <c r="P84" s="455"/>
    </row>
    <row r="85" spans="1:16">
      <c r="H85" s="51"/>
      <c r="J85" s="51"/>
      <c r="M85" s="145"/>
      <c r="N85" s="146"/>
      <c r="O85" s="147"/>
      <c r="P85" s="455"/>
    </row>
    <row r="86" spans="1:16">
      <c r="H86" s="51"/>
      <c r="J86" s="51"/>
      <c r="M86" s="145"/>
      <c r="N86" s="146"/>
      <c r="O86" s="147"/>
      <c r="P86" s="455"/>
    </row>
    <row r="87" spans="1:16">
      <c r="H87" s="51"/>
      <c r="J87" s="51"/>
      <c r="M87" s="145"/>
      <c r="N87" s="146"/>
      <c r="O87" s="147"/>
      <c r="P87" s="455"/>
    </row>
    <row r="88" spans="1:16">
      <c r="H88" s="51"/>
      <c r="J88" s="51"/>
      <c r="M88" s="145"/>
      <c r="N88" s="146"/>
      <c r="O88" s="147"/>
      <c r="P88" s="455"/>
    </row>
    <row r="89" spans="1:16">
      <c r="H89" s="51"/>
      <c r="J89" s="51"/>
      <c r="M89" s="145"/>
      <c r="N89" s="146"/>
      <c r="O89" s="147"/>
      <c r="P89" s="455"/>
    </row>
    <row r="90" spans="1:16">
      <c r="B90" s="469">
        <f ca="1">NOW()</f>
        <v>40336.490004976855</v>
      </c>
      <c r="H90" s="51"/>
      <c r="J90" s="51"/>
      <c r="M90" s="145"/>
      <c r="N90" s="146"/>
      <c r="O90" s="147"/>
      <c r="P90" s="455"/>
    </row>
    <row r="91" spans="1:16">
      <c r="H91" s="51"/>
      <c r="J91" s="51"/>
      <c r="M91" s="145"/>
      <c r="N91" s="146"/>
      <c r="O91" s="147"/>
      <c r="P91" s="455"/>
    </row>
    <row r="92" spans="1:16">
      <c r="H92" s="51"/>
      <c r="J92" s="51"/>
      <c r="M92" s="145"/>
      <c r="N92" s="146"/>
      <c r="O92" s="147"/>
      <c r="P92" s="455"/>
    </row>
    <row r="93" spans="1:16">
      <c r="H93" s="51"/>
      <c r="J93" s="51"/>
      <c r="M93" s="145"/>
      <c r="N93" s="146"/>
      <c r="O93" s="147"/>
      <c r="P93" s="455"/>
    </row>
    <row r="94" spans="1:16">
      <c r="H94" s="51"/>
      <c r="J94" s="51"/>
      <c r="M94" s="145"/>
      <c r="N94" s="146"/>
      <c r="O94" s="147"/>
      <c r="P94" s="455"/>
    </row>
    <row r="95" spans="1:16">
      <c r="H95" s="51"/>
      <c r="J95" s="51"/>
      <c r="M95" s="145"/>
      <c r="N95" s="146"/>
      <c r="O95" s="147"/>
      <c r="P95" s="455"/>
    </row>
    <row r="96" spans="1:16">
      <c r="H96" s="51"/>
      <c r="J96" s="51"/>
      <c r="M96" s="145"/>
      <c r="N96" s="146"/>
      <c r="O96" s="147"/>
      <c r="P96" s="455"/>
    </row>
    <row r="97" spans="8:16">
      <c r="H97" s="51"/>
      <c r="J97" s="51"/>
      <c r="M97" s="51"/>
      <c r="N97" s="146"/>
      <c r="O97" s="147"/>
      <c r="P97" s="455"/>
    </row>
    <row r="98" spans="8:16">
      <c r="H98" s="51"/>
      <c r="J98" s="51"/>
      <c r="M98" s="51"/>
      <c r="N98" s="146"/>
      <c r="O98" s="147"/>
      <c r="P98" s="455"/>
    </row>
    <row r="99" spans="8:16">
      <c r="H99" s="51"/>
      <c r="J99" s="51"/>
      <c r="M99" s="51"/>
      <c r="N99" s="146"/>
      <c r="O99" s="147"/>
      <c r="P99" s="455"/>
    </row>
  </sheetData>
  <mergeCells count="5">
    <mergeCell ref="D3:D5"/>
    <mergeCell ref="E3:G3"/>
    <mergeCell ref="J3:J4"/>
    <mergeCell ref="M3:M4"/>
    <mergeCell ref="O3:O4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Header>&amp;R&amp;"Arial,Bold"APPENDIX B</oddHeader>
    <oddFooter>&amp;RREV Page &amp;P</oddFooter>
  </headerFooter>
  <rowBreaks count="2" manualBreakCount="2">
    <brk id="32" max="16383" man="1"/>
    <brk id="50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94"/>
  <sheetViews>
    <sheetView topLeftCell="A28" workbookViewId="0">
      <selection activeCell="A48" sqref="A48:XFD94"/>
    </sheetView>
  </sheetViews>
  <sheetFormatPr defaultRowHeight="15"/>
  <cols>
    <col min="1" max="1" width="2" style="194" customWidth="1"/>
    <col min="2" max="2" width="68.7109375" style="194" bestFit="1" customWidth="1"/>
    <col min="3" max="3" width="16" style="262" bestFit="1" customWidth="1"/>
    <col min="4" max="4" width="11.42578125" style="194" bestFit="1" customWidth="1"/>
    <col min="5" max="5" width="11.42578125" style="195" bestFit="1" customWidth="1"/>
    <col min="6" max="6" width="11.5703125" style="195" customWidth="1"/>
    <col min="7" max="9" width="11.42578125" style="195" bestFit="1" customWidth="1"/>
    <col min="10" max="10" width="12.28515625" style="194" customWidth="1"/>
    <col min="11" max="11" width="1.42578125" style="194" customWidth="1"/>
    <col min="12" max="12" width="74.140625" style="194" customWidth="1"/>
    <col min="13" max="256" width="8.85546875" style="194"/>
    <col min="257" max="257" width="2" style="194" customWidth="1"/>
    <col min="258" max="258" width="68.7109375" style="194" bestFit="1" customWidth="1"/>
    <col min="259" max="259" width="16" style="194" bestFit="1" customWidth="1"/>
    <col min="260" max="261" width="11.42578125" style="194" bestFit="1" customWidth="1"/>
    <col min="262" max="262" width="11.5703125" style="194" customWidth="1"/>
    <col min="263" max="265" width="11.42578125" style="194" bestFit="1" customWidth="1"/>
    <col min="266" max="266" width="12.28515625" style="194" customWidth="1"/>
    <col min="267" max="267" width="1.42578125" style="194" customWidth="1"/>
    <col min="268" max="268" width="74.140625" style="194" customWidth="1"/>
    <col min="269" max="512" width="8.85546875" style="194"/>
    <col min="513" max="513" width="2" style="194" customWidth="1"/>
    <col min="514" max="514" width="68.7109375" style="194" bestFit="1" customWidth="1"/>
    <col min="515" max="515" width="16" style="194" bestFit="1" customWidth="1"/>
    <col min="516" max="517" width="11.42578125" style="194" bestFit="1" customWidth="1"/>
    <col min="518" max="518" width="11.5703125" style="194" customWidth="1"/>
    <col min="519" max="521" width="11.42578125" style="194" bestFit="1" customWidth="1"/>
    <col min="522" max="522" width="12.28515625" style="194" customWidth="1"/>
    <col min="523" max="523" width="1.42578125" style="194" customWidth="1"/>
    <col min="524" max="524" width="74.140625" style="194" customWidth="1"/>
    <col min="525" max="768" width="8.85546875" style="194"/>
    <col min="769" max="769" width="2" style="194" customWidth="1"/>
    <col min="770" max="770" width="68.7109375" style="194" bestFit="1" customWidth="1"/>
    <col min="771" max="771" width="16" style="194" bestFit="1" customWidth="1"/>
    <col min="772" max="773" width="11.42578125" style="194" bestFit="1" customWidth="1"/>
    <col min="774" max="774" width="11.5703125" style="194" customWidth="1"/>
    <col min="775" max="777" width="11.42578125" style="194" bestFit="1" customWidth="1"/>
    <col min="778" max="778" width="12.28515625" style="194" customWidth="1"/>
    <col min="779" max="779" width="1.42578125" style="194" customWidth="1"/>
    <col min="780" max="780" width="74.140625" style="194" customWidth="1"/>
    <col min="781" max="1024" width="8.85546875" style="194"/>
    <col min="1025" max="1025" width="2" style="194" customWidth="1"/>
    <col min="1026" max="1026" width="68.7109375" style="194" bestFit="1" customWidth="1"/>
    <col min="1027" max="1027" width="16" style="194" bestFit="1" customWidth="1"/>
    <col min="1028" max="1029" width="11.42578125" style="194" bestFit="1" customWidth="1"/>
    <col min="1030" max="1030" width="11.5703125" style="194" customWidth="1"/>
    <col min="1031" max="1033" width="11.42578125" style="194" bestFit="1" customWidth="1"/>
    <col min="1034" max="1034" width="12.28515625" style="194" customWidth="1"/>
    <col min="1035" max="1035" width="1.42578125" style="194" customWidth="1"/>
    <col min="1036" max="1036" width="74.140625" style="194" customWidth="1"/>
    <col min="1037" max="1280" width="8.85546875" style="194"/>
    <col min="1281" max="1281" width="2" style="194" customWidth="1"/>
    <col min="1282" max="1282" width="68.7109375" style="194" bestFit="1" customWidth="1"/>
    <col min="1283" max="1283" width="16" style="194" bestFit="1" customWidth="1"/>
    <col min="1284" max="1285" width="11.42578125" style="194" bestFit="1" customWidth="1"/>
    <col min="1286" max="1286" width="11.5703125" style="194" customWidth="1"/>
    <col min="1287" max="1289" width="11.42578125" style="194" bestFit="1" customWidth="1"/>
    <col min="1290" max="1290" width="12.28515625" style="194" customWidth="1"/>
    <col min="1291" max="1291" width="1.42578125" style="194" customWidth="1"/>
    <col min="1292" max="1292" width="74.140625" style="194" customWidth="1"/>
    <col min="1293" max="1536" width="8.85546875" style="194"/>
    <col min="1537" max="1537" width="2" style="194" customWidth="1"/>
    <col min="1538" max="1538" width="68.7109375" style="194" bestFit="1" customWidth="1"/>
    <col min="1539" max="1539" width="16" style="194" bestFit="1" customWidth="1"/>
    <col min="1540" max="1541" width="11.42578125" style="194" bestFit="1" customWidth="1"/>
    <col min="1542" max="1542" width="11.5703125" style="194" customWidth="1"/>
    <col min="1543" max="1545" width="11.42578125" style="194" bestFit="1" customWidth="1"/>
    <col min="1546" max="1546" width="12.28515625" style="194" customWidth="1"/>
    <col min="1547" max="1547" width="1.42578125" style="194" customWidth="1"/>
    <col min="1548" max="1548" width="74.140625" style="194" customWidth="1"/>
    <col min="1549" max="1792" width="8.85546875" style="194"/>
    <col min="1793" max="1793" width="2" style="194" customWidth="1"/>
    <col min="1794" max="1794" width="68.7109375" style="194" bestFit="1" customWidth="1"/>
    <col min="1795" max="1795" width="16" style="194" bestFit="1" customWidth="1"/>
    <col min="1796" max="1797" width="11.42578125" style="194" bestFit="1" customWidth="1"/>
    <col min="1798" max="1798" width="11.5703125" style="194" customWidth="1"/>
    <col min="1799" max="1801" width="11.42578125" style="194" bestFit="1" customWidth="1"/>
    <col min="1802" max="1802" width="12.28515625" style="194" customWidth="1"/>
    <col min="1803" max="1803" width="1.42578125" style="194" customWidth="1"/>
    <col min="1804" max="1804" width="74.140625" style="194" customWidth="1"/>
    <col min="1805" max="2048" width="8.85546875" style="194"/>
    <col min="2049" max="2049" width="2" style="194" customWidth="1"/>
    <col min="2050" max="2050" width="68.7109375" style="194" bestFit="1" customWidth="1"/>
    <col min="2051" max="2051" width="16" style="194" bestFit="1" customWidth="1"/>
    <col min="2052" max="2053" width="11.42578125" style="194" bestFit="1" customWidth="1"/>
    <col min="2054" max="2054" width="11.5703125" style="194" customWidth="1"/>
    <col min="2055" max="2057" width="11.42578125" style="194" bestFit="1" customWidth="1"/>
    <col min="2058" max="2058" width="12.28515625" style="194" customWidth="1"/>
    <col min="2059" max="2059" width="1.42578125" style="194" customWidth="1"/>
    <col min="2060" max="2060" width="74.140625" style="194" customWidth="1"/>
    <col min="2061" max="2304" width="8.85546875" style="194"/>
    <col min="2305" max="2305" width="2" style="194" customWidth="1"/>
    <col min="2306" max="2306" width="68.7109375" style="194" bestFit="1" customWidth="1"/>
    <col min="2307" max="2307" width="16" style="194" bestFit="1" customWidth="1"/>
    <col min="2308" max="2309" width="11.42578125" style="194" bestFit="1" customWidth="1"/>
    <col min="2310" max="2310" width="11.5703125" style="194" customWidth="1"/>
    <col min="2311" max="2313" width="11.42578125" style="194" bestFit="1" customWidth="1"/>
    <col min="2314" max="2314" width="12.28515625" style="194" customWidth="1"/>
    <col min="2315" max="2315" width="1.42578125" style="194" customWidth="1"/>
    <col min="2316" max="2316" width="74.140625" style="194" customWidth="1"/>
    <col min="2317" max="2560" width="8.85546875" style="194"/>
    <col min="2561" max="2561" width="2" style="194" customWidth="1"/>
    <col min="2562" max="2562" width="68.7109375" style="194" bestFit="1" customWidth="1"/>
    <col min="2563" max="2563" width="16" style="194" bestFit="1" customWidth="1"/>
    <col min="2564" max="2565" width="11.42578125" style="194" bestFit="1" customWidth="1"/>
    <col min="2566" max="2566" width="11.5703125" style="194" customWidth="1"/>
    <col min="2567" max="2569" width="11.42578125" style="194" bestFit="1" customWidth="1"/>
    <col min="2570" max="2570" width="12.28515625" style="194" customWidth="1"/>
    <col min="2571" max="2571" width="1.42578125" style="194" customWidth="1"/>
    <col min="2572" max="2572" width="74.140625" style="194" customWidth="1"/>
    <col min="2573" max="2816" width="8.85546875" style="194"/>
    <col min="2817" max="2817" width="2" style="194" customWidth="1"/>
    <col min="2818" max="2818" width="68.7109375" style="194" bestFit="1" customWidth="1"/>
    <col min="2819" max="2819" width="16" style="194" bestFit="1" customWidth="1"/>
    <col min="2820" max="2821" width="11.42578125" style="194" bestFit="1" customWidth="1"/>
    <col min="2822" max="2822" width="11.5703125" style="194" customWidth="1"/>
    <col min="2823" max="2825" width="11.42578125" style="194" bestFit="1" customWidth="1"/>
    <col min="2826" max="2826" width="12.28515625" style="194" customWidth="1"/>
    <col min="2827" max="2827" width="1.42578125" style="194" customWidth="1"/>
    <col min="2828" max="2828" width="74.140625" style="194" customWidth="1"/>
    <col min="2829" max="3072" width="8.85546875" style="194"/>
    <col min="3073" max="3073" width="2" style="194" customWidth="1"/>
    <col min="3074" max="3074" width="68.7109375" style="194" bestFit="1" customWidth="1"/>
    <col min="3075" max="3075" width="16" style="194" bestFit="1" customWidth="1"/>
    <col min="3076" max="3077" width="11.42578125" style="194" bestFit="1" customWidth="1"/>
    <col min="3078" max="3078" width="11.5703125" style="194" customWidth="1"/>
    <col min="3079" max="3081" width="11.42578125" style="194" bestFit="1" customWidth="1"/>
    <col min="3082" max="3082" width="12.28515625" style="194" customWidth="1"/>
    <col min="3083" max="3083" width="1.42578125" style="194" customWidth="1"/>
    <col min="3084" max="3084" width="74.140625" style="194" customWidth="1"/>
    <col min="3085" max="3328" width="8.85546875" style="194"/>
    <col min="3329" max="3329" width="2" style="194" customWidth="1"/>
    <col min="3330" max="3330" width="68.7109375" style="194" bestFit="1" customWidth="1"/>
    <col min="3331" max="3331" width="16" style="194" bestFit="1" customWidth="1"/>
    <col min="3332" max="3333" width="11.42578125" style="194" bestFit="1" customWidth="1"/>
    <col min="3334" max="3334" width="11.5703125" style="194" customWidth="1"/>
    <col min="3335" max="3337" width="11.42578125" style="194" bestFit="1" customWidth="1"/>
    <col min="3338" max="3338" width="12.28515625" style="194" customWidth="1"/>
    <col min="3339" max="3339" width="1.42578125" style="194" customWidth="1"/>
    <col min="3340" max="3340" width="74.140625" style="194" customWidth="1"/>
    <col min="3341" max="3584" width="8.85546875" style="194"/>
    <col min="3585" max="3585" width="2" style="194" customWidth="1"/>
    <col min="3586" max="3586" width="68.7109375" style="194" bestFit="1" customWidth="1"/>
    <col min="3587" max="3587" width="16" style="194" bestFit="1" customWidth="1"/>
    <col min="3588" max="3589" width="11.42578125" style="194" bestFit="1" customWidth="1"/>
    <col min="3590" max="3590" width="11.5703125" style="194" customWidth="1"/>
    <col min="3591" max="3593" width="11.42578125" style="194" bestFit="1" customWidth="1"/>
    <col min="3594" max="3594" width="12.28515625" style="194" customWidth="1"/>
    <col min="3595" max="3595" width="1.42578125" style="194" customWidth="1"/>
    <col min="3596" max="3596" width="74.140625" style="194" customWidth="1"/>
    <col min="3597" max="3840" width="8.85546875" style="194"/>
    <col min="3841" max="3841" width="2" style="194" customWidth="1"/>
    <col min="3842" max="3842" width="68.7109375" style="194" bestFit="1" customWidth="1"/>
    <col min="3843" max="3843" width="16" style="194" bestFit="1" customWidth="1"/>
    <col min="3844" max="3845" width="11.42578125" style="194" bestFit="1" customWidth="1"/>
    <col min="3846" max="3846" width="11.5703125" style="194" customWidth="1"/>
    <col min="3847" max="3849" width="11.42578125" style="194" bestFit="1" customWidth="1"/>
    <col min="3850" max="3850" width="12.28515625" style="194" customWidth="1"/>
    <col min="3851" max="3851" width="1.42578125" style="194" customWidth="1"/>
    <col min="3852" max="3852" width="74.140625" style="194" customWidth="1"/>
    <col min="3853" max="4096" width="8.85546875" style="194"/>
    <col min="4097" max="4097" width="2" style="194" customWidth="1"/>
    <col min="4098" max="4098" width="68.7109375" style="194" bestFit="1" customWidth="1"/>
    <col min="4099" max="4099" width="16" style="194" bestFit="1" customWidth="1"/>
    <col min="4100" max="4101" width="11.42578125" style="194" bestFit="1" customWidth="1"/>
    <col min="4102" max="4102" width="11.5703125" style="194" customWidth="1"/>
    <col min="4103" max="4105" width="11.42578125" style="194" bestFit="1" customWidth="1"/>
    <col min="4106" max="4106" width="12.28515625" style="194" customWidth="1"/>
    <col min="4107" max="4107" width="1.42578125" style="194" customWidth="1"/>
    <col min="4108" max="4108" width="74.140625" style="194" customWidth="1"/>
    <col min="4109" max="4352" width="8.85546875" style="194"/>
    <col min="4353" max="4353" width="2" style="194" customWidth="1"/>
    <col min="4354" max="4354" width="68.7109375" style="194" bestFit="1" customWidth="1"/>
    <col min="4355" max="4355" width="16" style="194" bestFit="1" customWidth="1"/>
    <col min="4356" max="4357" width="11.42578125" style="194" bestFit="1" customWidth="1"/>
    <col min="4358" max="4358" width="11.5703125" style="194" customWidth="1"/>
    <col min="4359" max="4361" width="11.42578125" style="194" bestFit="1" customWidth="1"/>
    <col min="4362" max="4362" width="12.28515625" style="194" customWidth="1"/>
    <col min="4363" max="4363" width="1.42578125" style="194" customWidth="1"/>
    <col min="4364" max="4364" width="74.140625" style="194" customWidth="1"/>
    <col min="4365" max="4608" width="8.85546875" style="194"/>
    <col min="4609" max="4609" width="2" style="194" customWidth="1"/>
    <col min="4610" max="4610" width="68.7109375" style="194" bestFit="1" customWidth="1"/>
    <col min="4611" max="4611" width="16" style="194" bestFit="1" customWidth="1"/>
    <col min="4612" max="4613" width="11.42578125" style="194" bestFit="1" customWidth="1"/>
    <col min="4614" max="4614" width="11.5703125" style="194" customWidth="1"/>
    <col min="4615" max="4617" width="11.42578125" style="194" bestFit="1" customWidth="1"/>
    <col min="4618" max="4618" width="12.28515625" style="194" customWidth="1"/>
    <col min="4619" max="4619" width="1.42578125" style="194" customWidth="1"/>
    <col min="4620" max="4620" width="74.140625" style="194" customWidth="1"/>
    <col min="4621" max="4864" width="8.85546875" style="194"/>
    <col min="4865" max="4865" width="2" style="194" customWidth="1"/>
    <col min="4866" max="4866" width="68.7109375" style="194" bestFit="1" customWidth="1"/>
    <col min="4867" max="4867" width="16" style="194" bestFit="1" customWidth="1"/>
    <col min="4868" max="4869" width="11.42578125" style="194" bestFit="1" customWidth="1"/>
    <col min="4870" max="4870" width="11.5703125" style="194" customWidth="1"/>
    <col min="4871" max="4873" width="11.42578125" style="194" bestFit="1" customWidth="1"/>
    <col min="4874" max="4874" width="12.28515625" style="194" customWidth="1"/>
    <col min="4875" max="4875" width="1.42578125" style="194" customWidth="1"/>
    <col min="4876" max="4876" width="74.140625" style="194" customWidth="1"/>
    <col min="4877" max="5120" width="8.85546875" style="194"/>
    <col min="5121" max="5121" width="2" style="194" customWidth="1"/>
    <col min="5122" max="5122" width="68.7109375" style="194" bestFit="1" customWidth="1"/>
    <col min="5123" max="5123" width="16" style="194" bestFit="1" customWidth="1"/>
    <col min="5124" max="5125" width="11.42578125" style="194" bestFit="1" customWidth="1"/>
    <col min="5126" max="5126" width="11.5703125" style="194" customWidth="1"/>
    <col min="5127" max="5129" width="11.42578125" style="194" bestFit="1" customWidth="1"/>
    <col min="5130" max="5130" width="12.28515625" style="194" customWidth="1"/>
    <col min="5131" max="5131" width="1.42578125" style="194" customWidth="1"/>
    <col min="5132" max="5132" width="74.140625" style="194" customWidth="1"/>
    <col min="5133" max="5376" width="8.85546875" style="194"/>
    <col min="5377" max="5377" width="2" style="194" customWidth="1"/>
    <col min="5378" max="5378" width="68.7109375" style="194" bestFit="1" customWidth="1"/>
    <col min="5379" max="5379" width="16" style="194" bestFit="1" customWidth="1"/>
    <col min="5380" max="5381" width="11.42578125" style="194" bestFit="1" customWidth="1"/>
    <col min="5382" max="5382" width="11.5703125" style="194" customWidth="1"/>
    <col min="5383" max="5385" width="11.42578125" style="194" bestFit="1" customWidth="1"/>
    <col min="5386" max="5386" width="12.28515625" style="194" customWidth="1"/>
    <col min="5387" max="5387" width="1.42578125" style="194" customWidth="1"/>
    <col min="5388" max="5388" width="74.140625" style="194" customWidth="1"/>
    <col min="5389" max="5632" width="8.85546875" style="194"/>
    <col min="5633" max="5633" width="2" style="194" customWidth="1"/>
    <col min="5634" max="5634" width="68.7109375" style="194" bestFit="1" customWidth="1"/>
    <col min="5635" max="5635" width="16" style="194" bestFit="1" customWidth="1"/>
    <col min="5636" max="5637" width="11.42578125" style="194" bestFit="1" customWidth="1"/>
    <col min="5638" max="5638" width="11.5703125" style="194" customWidth="1"/>
    <col min="5639" max="5641" width="11.42578125" style="194" bestFit="1" customWidth="1"/>
    <col min="5642" max="5642" width="12.28515625" style="194" customWidth="1"/>
    <col min="5643" max="5643" width="1.42578125" style="194" customWidth="1"/>
    <col min="5644" max="5644" width="74.140625" style="194" customWidth="1"/>
    <col min="5645" max="5888" width="8.85546875" style="194"/>
    <col min="5889" max="5889" width="2" style="194" customWidth="1"/>
    <col min="5890" max="5890" width="68.7109375" style="194" bestFit="1" customWidth="1"/>
    <col min="5891" max="5891" width="16" style="194" bestFit="1" customWidth="1"/>
    <col min="5892" max="5893" width="11.42578125" style="194" bestFit="1" customWidth="1"/>
    <col min="5894" max="5894" width="11.5703125" style="194" customWidth="1"/>
    <col min="5895" max="5897" width="11.42578125" style="194" bestFit="1" customWidth="1"/>
    <col min="5898" max="5898" width="12.28515625" style="194" customWidth="1"/>
    <col min="5899" max="5899" width="1.42578125" style="194" customWidth="1"/>
    <col min="5900" max="5900" width="74.140625" style="194" customWidth="1"/>
    <col min="5901" max="6144" width="8.85546875" style="194"/>
    <col min="6145" max="6145" width="2" style="194" customWidth="1"/>
    <col min="6146" max="6146" width="68.7109375" style="194" bestFit="1" customWidth="1"/>
    <col min="6147" max="6147" width="16" style="194" bestFit="1" customWidth="1"/>
    <col min="6148" max="6149" width="11.42578125" style="194" bestFit="1" customWidth="1"/>
    <col min="6150" max="6150" width="11.5703125" style="194" customWidth="1"/>
    <col min="6151" max="6153" width="11.42578125" style="194" bestFit="1" customWidth="1"/>
    <col min="6154" max="6154" width="12.28515625" style="194" customWidth="1"/>
    <col min="6155" max="6155" width="1.42578125" style="194" customWidth="1"/>
    <col min="6156" max="6156" width="74.140625" style="194" customWidth="1"/>
    <col min="6157" max="6400" width="8.85546875" style="194"/>
    <col min="6401" max="6401" width="2" style="194" customWidth="1"/>
    <col min="6402" max="6402" width="68.7109375" style="194" bestFit="1" customWidth="1"/>
    <col min="6403" max="6403" width="16" style="194" bestFit="1" customWidth="1"/>
    <col min="6404" max="6405" width="11.42578125" style="194" bestFit="1" customWidth="1"/>
    <col min="6406" max="6406" width="11.5703125" style="194" customWidth="1"/>
    <col min="6407" max="6409" width="11.42578125" style="194" bestFit="1" customWidth="1"/>
    <col min="6410" max="6410" width="12.28515625" style="194" customWidth="1"/>
    <col min="6411" max="6411" width="1.42578125" style="194" customWidth="1"/>
    <col min="6412" max="6412" width="74.140625" style="194" customWidth="1"/>
    <col min="6413" max="6656" width="8.85546875" style="194"/>
    <col min="6657" max="6657" width="2" style="194" customWidth="1"/>
    <col min="6658" max="6658" width="68.7109375" style="194" bestFit="1" customWidth="1"/>
    <col min="6659" max="6659" width="16" style="194" bestFit="1" customWidth="1"/>
    <col min="6660" max="6661" width="11.42578125" style="194" bestFit="1" customWidth="1"/>
    <col min="6662" max="6662" width="11.5703125" style="194" customWidth="1"/>
    <col min="6663" max="6665" width="11.42578125" style="194" bestFit="1" customWidth="1"/>
    <col min="6666" max="6666" width="12.28515625" style="194" customWidth="1"/>
    <col min="6667" max="6667" width="1.42578125" style="194" customWidth="1"/>
    <col min="6668" max="6668" width="74.140625" style="194" customWidth="1"/>
    <col min="6669" max="6912" width="8.85546875" style="194"/>
    <col min="6913" max="6913" width="2" style="194" customWidth="1"/>
    <col min="6914" max="6914" width="68.7109375" style="194" bestFit="1" customWidth="1"/>
    <col min="6915" max="6915" width="16" style="194" bestFit="1" customWidth="1"/>
    <col min="6916" max="6917" width="11.42578125" style="194" bestFit="1" customWidth="1"/>
    <col min="6918" max="6918" width="11.5703125" style="194" customWidth="1"/>
    <col min="6919" max="6921" width="11.42578125" style="194" bestFit="1" customWidth="1"/>
    <col min="6922" max="6922" width="12.28515625" style="194" customWidth="1"/>
    <col min="6923" max="6923" width="1.42578125" style="194" customWidth="1"/>
    <col min="6924" max="6924" width="74.140625" style="194" customWidth="1"/>
    <col min="6925" max="7168" width="8.85546875" style="194"/>
    <col min="7169" max="7169" width="2" style="194" customWidth="1"/>
    <col min="7170" max="7170" width="68.7109375" style="194" bestFit="1" customWidth="1"/>
    <col min="7171" max="7171" width="16" style="194" bestFit="1" customWidth="1"/>
    <col min="7172" max="7173" width="11.42578125" style="194" bestFit="1" customWidth="1"/>
    <col min="7174" max="7174" width="11.5703125" style="194" customWidth="1"/>
    <col min="7175" max="7177" width="11.42578125" style="194" bestFit="1" customWidth="1"/>
    <col min="7178" max="7178" width="12.28515625" style="194" customWidth="1"/>
    <col min="7179" max="7179" width="1.42578125" style="194" customWidth="1"/>
    <col min="7180" max="7180" width="74.140625" style="194" customWidth="1"/>
    <col min="7181" max="7424" width="8.85546875" style="194"/>
    <col min="7425" max="7425" width="2" style="194" customWidth="1"/>
    <col min="7426" max="7426" width="68.7109375" style="194" bestFit="1" customWidth="1"/>
    <col min="7427" max="7427" width="16" style="194" bestFit="1" customWidth="1"/>
    <col min="7428" max="7429" width="11.42578125" style="194" bestFit="1" customWidth="1"/>
    <col min="7430" max="7430" width="11.5703125" style="194" customWidth="1"/>
    <col min="7431" max="7433" width="11.42578125" style="194" bestFit="1" customWidth="1"/>
    <col min="7434" max="7434" width="12.28515625" style="194" customWidth="1"/>
    <col min="7435" max="7435" width="1.42578125" style="194" customWidth="1"/>
    <col min="7436" max="7436" width="74.140625" style="194" customWidth="1"/>
    <col min="7437" max="7680" width="8.85546875" style="194"/>
    <col min="7681" max="7681" width="2" style="194" customWidth="1"/>
    <col min="7682" max="7682" width="68.7109375" style="194" bestFit="1" customWidth="1"/>
    <col min="7683" max="7683" width="16" style="194" bestFit="1" customWidth="1"/>
    <col min="7684" max="7685" width="11.42578125" style="194" bestFit="1" customWidth="1"/>
    <col min="7686" max="7686" width="11.5703125" style="194" customWidth="1"/>
    <col min="7687" max="7689" width="11.42578125" style="194" bestFit="1" customWidth="1"/>
    <col min="7690" max="7690" width="12.28515625" style="194" customWidth="1"/>
    <col min="7691" max="7691" width="1.42578125" style="194" customWidth="1"/>
    <col min="7692" max="7692" width="74.140625" style="194" customWidth="1"/>
    <col min="7693" max="7936" width="8.85546875" style="194"/>
    <col min="7937" max="7937" width="2" style="194" customWidth="1"/>
    <col min="7938" max="7938" width="68.7109375" style="194" bestFit="1" customWidth="1"/>
    <col min="7939" max="7939" width="16" style="194" bestFit="1" customWidth="1"/>
    <col min="7940" max="7941" width="11.42578125" style="194" bestFit="1" customWidth="1"/>
    <col min="7942" max="7942" width="11.5703125" style="194" customWidth="1"/>
    <col min="7943" max="7945" width="11.42578125" style="194" bestFit="1" customWidth="1"/>
    <col min="7946" max="7946" width="12.28515625" style="194" customWidth="1"/>
    <col min="7947" max="7947" width="1.42578125" style="194" customWidth="1"/>
    <col min="7948" max="7948" width="74.140625" style="194" customWidth="1"/>
    <col min="7949" max="8192" width="8.85546875" style="194"/>
    <col min="8193" max="8193" width="2" style="194" customWidth="1"/>
    <col min="8194" max="8194" width="68.7109375" style="194" bestFit="1" customWidth="1"/>
    <col min="8195" max="8195" width="16" style="194" bestFit="1" customWidth="1"/>
    <col min="8196" max="8197" width="11.42578125" style="194" bestFit="1" customWidth="1"/>
    <col min="8198" max="8198" width="11.5703125" style="194" customWidth="1"/>
    <col min="8199" max="8201" width="11.42578125" style="194" bestFit="1" customWidth="1"/>
    <col min="8202" max="8202" width="12.28515625" style="194" customWidth="1"/>
    <col min="8203" max="8203" width="1.42578125" style="194" customWidth="1"/>
    <col min="8204" max="8204" width="74.140625" style="194" customWidth="1"/>
    <col min="8205" max="8448" width="8.85546875" style="194"/>
    <col min="8449" max="8449" width="2" style="194" customWidth="1"/>
    <col min="8450" max="8450" width="68.7109375" style="194" bestFit="1" customWidth="1"/>
    <col min="8451" max="8451" width="16" style="194" bestFit="1" customWidth="1"/>
    <col min="8452" max="8453" width="11.42578125" style="194" bestFit="1" customWidth="1"/>
    <col min="8454" max="8454" width="11.5703125" style="194" customWidth="1"/>
    <col min="8455" max="8457" width="11.42578125" style="194" bestFit="1" customWidth="1"/>
    <col min="8458" max="8458" width="12.28515625" style="194" customWidth="1"/>
    <col min="8459" max="8459" width="1.42578125" style="194" customWidth="1"/>
    <col min="8460" max="8460" width="74.140625" style="194" customWidth="1"/>
    <col min="8461" max="8704" width="8.85546875" style="194"/>
    <col min="8705" max="8705" width="2" style="194" customWidth="1"/>
    <col min="8706" max="8706" width="68.7109375" style="194" bestFit="1" customWidth="1"/>
    <col min="8707" max="8707" width="16" style="194" bestFit="1" customWidth="1"/>
    <col min="8708" max="8709" width="11.42578125" style="194" bestFit="1" customWidth="1"/>
    <col min="8710" max="8710" width="11.5703125" style="194" customWidth="1"/>
    <col min="8711" max="8713" width="11.42578125" style="194" bestFit="1" customWidth="1"/>
    <col min="8714" max="8714" width="12.28515625" style="194" customWidth="1"/>
    <col min="8715" max="8715" width="1.42578125" style="194" customWidth="1"/>
    <col min="8716" max="8716" width="74.140625" style="194" customWidth="1"/>
    <col min="8717" max="8960" width="8.85546875" style="194"/>
    <col min="8961" max="8961" width="2" style="194" customWidth="1"/>
    <col min="8962" max="8962" width="68.7109375" style="194" bestFit="1" customWidth="1"/>
    <col min="8963" max="8963" width="16" style="194" bestFit="1" customWidth="1"/>
    <col min="8964" max="8965" width="11.42578125" style="194" bestFit="1" customWidth="1"/>
    <col min="8966" max="8966" width="11.5703125" style="194" customWidth="1"/>
    <col min="8967" max="8969" width="11.42578125" style="194" bestFit="1" customWidth="1"/>
    <col min="8970" max="8970" width="12.28515625" style="194" customWidth="1"/>
    <col min="8971" max="8971" width="1.42578125" style="194" customWidth="1"/>
    <col min="8972" max="8972" width="74.140625" style="194" customWidth="1"/>
    <col min="8973" max="9216" width="8.85546875" style="194"/>
    <col min="9217" max="9217" width="2" style="194" customWidth="1"/>
    <col min="9218" max="9218" width="68.7109375" style="194" bestFit="1" customWidth="1"/>
    <col min="9219" max="9219" width="16" style="194" bestFit="1" customWidth="1"/>
    <col min="9220" max="9221" width="11.42578125" style="194" bestFit="1" customWidth="1"/>
    <col min="9222" max="9222" width="11.5703125" style="194" customWidth="1"/>
    <col min="9223" max="9225" width="11.42578125" style="194" bestFit="1" customWidth="1"/>
    <col min="9226" max="9226" width="12.28515625" style="194" customWidth="1"/>
    <col min="9227" max="9227" width="1.42578125" style="194" customWidth="1"/>
    <col min="9228" max="9228" width="74.140625" style="194" customWidth="1"/>
    <col min="9229" max="9472" width="8.85546875" style="194"/>
    <col min="9473" max="9473" width="2" style="194" customWidth="1"/>
    <col min="9474" max="9474" width="68.7109375" style="194" bestFit="1" customWidth="1"/>
    <col min="9475" max="9475" width="16" style="194" bestFit="1" customWidth="1"/>
    <col min="9476" max="9477" width="11.42578125" style="194" bestFit="1" customWidth="1"/>
    <col min="9478" max="9478" width="11.5703125" style="194" customWidth="1"/>
    <col min="9479" max="9481" width="11.42578125" style="194" bestFit="1" customWidth="1"/>
    <col min="9482" max="9482" width="12.28515625" style="194" customWidth="1"/>
    <col min="9483" max="9483" width="1.42578125" style="194" customWidth="1"/>
    <col min="9484" max="9484" width="74.140625" style="194" customWidth="1"/>
    <col min="9485" max="9728" width="8.85546875" style="194"/>
    <col min="9729" max="9729" width="2" style="194" customWidth="1"/>
    <col min="9730" max="9730" width="68.7109375" style="194" bestFit="1" customWidth="1"/>
    <col min="9731" max="9731" width="16" style="194" bestFit="1" customWidth="1"/>
    <col min="9732" max="9733" width="11.42578125" style="194" bestFit="1" customWidth="1"/>
    <col min="9734" max="9734" width="11.5703125" style="194" customWidth="1"/>
    <col min="9735" max="9737" width="11.42578125" style="194" bestFit="1" customWidth="1"/>
    <col min="9738" max="9738" width="12.28515625" style="194" customWidth="1"/>
    <col min="9739" max="9739" width="1.42578125" style="194" customWidth="1"/>
    <col min="9740" max="9740" width="74.140625" style="194" customWidth="1"/>
    <col min="9741" max="9984" width="8.85546875" style="194"/>
    <col min="9985" max="9985" width="2" style="194" customWidth="1"/>
    <col min="9986" max="9986" width="68.7109375" style="194" bestFit="1" customWidth="1"/>
    <col min="9987" max="9987" width="16" style="194" bestFit="1" customWidth="1"/>
    <col min="9988" max="9989" width="11.42578125" style="194" bestFit="1" customWidth="1"/>
    <col min="9990" max="9990" width="11.5703125" style="194" customWidth="1"/>
    <col min="9991" max="9993" width="11.42578125" style="194" bestFit="1" customWidth="1"/>
    <col min="9994" max="9994" width="12.28515625" style="194" customWidth="1"/>
    <col min="9995" max="9995" width="1.42578125" style="194" customWidth="1"/>
    <col min="9996" max="9996" width="74.140625" style="194" customWidth="1"/>
    <col min="9997" max="10240" width="8.85546875" style="194"/>
    <col min="10241" max="10241" width="2" style="194" customWidth="1"/>
    <col min="10242" max="10242" width="68.7109375" style="194" bestFit="1" customWidth="1"/>
    <col min="10243" max="10243" width="16" style="194" bestFit="1" customWidth="1"/>
    <col min="10244" max="10245" width="11.42578125" style="194" bestFit="1" customWidth="1"/>
    <col min="10246" max="10246" width="11.5703125" style="194" customWidth="1"/>
    <col min="10247" max="10249" width="11.42578125" style="194" bestFit="1" customWidth="1"/>
    <col min="10250" max="10250" width="12.28515625" style="194" customWidth="1"/>
    <col min="10251" max="10251" width="1.42578125" style="194" customWidth="1"/>
    <col min="10252" max="10252" width="74.140625" style="194" customWidth="1"/>
    <col min="10253" max="10496" width="8.85546875" style="194"/>
    <col min="10497" max="10497" width="2" style="194" customWidth="1"/>
    <col min="10498" max="10498" width="68.7109375" style="194" bestFit="1" customWidth="1"/>
    <col min="10499" max="10499" width="16" style="194" bestFit="1" customWidth="1"/>
    <col min="10500" max="10501" width="11.42578125" style="194" bestFit="1" customWidth="1"/>
    <col min="10502" max="10502" width="11.5703125" style="194" customWidth="1"/>
    <col min="10503" max="10505" width="11.42578125" style="194" bestFit="1" customWidth="1"/>
    <col min="10506" max="10506" width="12.28515625" style="194" customWidth="1"/>
    <col min="10507" max="10507" width="1.42578125" style="194" customWidth="1"/>
    <col min="10508" max="10508" width="74.140625" style="194" customWidth="1"/>
    <col min="10509" max="10752" width="8.85546875" style="194"/>
    <col min="10753" max="10753" width="2" style="194" customWidth="1"/>
    <col min="10754" max="10754" width="68.7109375" style="194" bestFit="1" customWidth="1"/>
    <col min="10755" max="10755" width="16" style="194" bestFit="1" customWidth="1"/>
    <col min="10756" max="10757" width="11.42578125" style="194" bestFit="1" customWidth="1"/>
    <col min="10758" max="10758" width="11.5703125" style="194" customWidth="1"/>
    <col min="10759" max="10761" width="11.42578125" style="194" bestFit="1" customWidth="1"/>
    <col min="10762" max="10762" width="12.28515625" style="194" customWidth="1"/>
    <col min="10763" max="10763" width="1.42578125" style="194" customWidth="1"/>
    <col min="10764" max="10764" width="74.140625" style="194" customWidth="1"/>
    <col min="10765" max="11008" width="8.85546875" style="194"/>
    <col min="11009" max="11009" width="2" style="194" customWidth="1"/>
    <col min="11010" max="11010" width="68.7109375" style="194" bestFit="1" customWidth="1"/>
    <col min="11011" max="11011" width="16" style="194" bestFit="1" customWidth="1"/>
    <col min="11012" max="11013" width="11.42578125" style="194" bestFit="1" customWidth="1"/>
    <col min="11014" max="11014" width="11.5703125" style="194" customWidth="1"/>
    <col min="11015" max="11017" width="11.42578125" style="194" bestFit="1" customWidth="1"/>
    <col min="11018" max="11018" width="12.28515625" style="194" customWidth="1"/>
    <col min="11019" max="11019" width="1.42578125" style="194" customWidth="1"/>
    <col min="11020" max="11020" width="74.140625" style="194" customWidth="1"/>
    <col min="11021" max="11264" width="8.85546875" style="194"/>
    <col min="11265" max="11265" width="2" style="194" customWidth="1"/>
    <col min="11266" max="11266" width="68.7109375" style="194" bestFit="1" customWidth="1"/>
    <col min="11267" max="11267" width="16" style="194" bestFit="1" customWidth="1"/>
    <col min="11268" max="11269" width="11.42578125" style="194" bestFit="1" customWidth="1"/>
    <col min="11270" max="11270" width="11.5703125" style="194" customWidth="1"/>
    <col min="11271" max="11273" width="11.42578125" style="194" bestFit="1" customWidth="1"/>
    <col min="11274" max="11274" width="12.28515625" style="194" customWidth="1"/>
    <col min="11275" max="11275" width="1.42578125" style="194" customWidth="1"/>
    <col min="11276" max="11276" width="74.140625" style="194" customWidth="1"/>
    <col min="11277" max="11520" width="8.85546875" style="194"/>
    <col min="11521" max="11521" width="2" style="194" customWidth="1"/>
    <col min="11522" max="11522" width="68.7109375" style="194" bestFit="1" customWidth="1"/>
    <col min="11523" max="11523" width="16" style="194" bestFit="1" customWidth="1"/>
    <col min="11524" max="11525" width="11.42578125" style="194" bestFit="1" customWidth="1"/>
    <col min="11526" max="11526" width="11.5703125" style="194" customWidth="1"/>
    <col min="11527" max="11529" width="11.42578125" style="194" bestFit="1" customWidth="1"/>
    <col min="11530" max="11530" width="12.28515625" style="194" customWidth="1"/>
    <col min="11531" max="11531" width="1.42578125" style="194" customWidth="1"/>
    <col min="11532" max="11532" width="74.140625" style="194" customWidth="1"/>
    <col min="11533" max="11776" width="8.85546875" style="194"/>
    <col min="11777" max="11777" width="2" style="194" customWidth="1"/>
    <col min="11778" max="11778" width="68.7109375" style="194" bestFit="1" customWidth="1"/>
    <col min="11779" max="11779" width="16" style="194" bestFit="1" customWidth="1"/>
    <col min="11780" max="11781" width="11.42578125" style="194" bestFit="1" customWidth="1"/>
    <col min="11782" max="11782" width="11.5703125" style="194" customWidth="1"/>
    <col min="11783" max="11785" width="11.42578125" style="194" bestFit="1" customWidth="1"/>
    <col min="11786" max="11786" width="12.28515625" style="194" customWidth="1"/>
    <col min="11787" max="11787" width="1.42578125" style="194" customWidth="1"/>
    <col min="11788" max="11788" width="74.140625" style="194" customWidth="1"/>
    <col min="11789" max="12032" width="8.85546875" style="194"/>
    <col min="12033" max="12033" width="2" style="194" customWidth="1"/>
    <col min="12034" max="12034" width="68.7109375" style="194" bestFit="1" customWidth="1"/>
    <col min="12035" max="12035" width="16" style="194" bestFit="1" customWidth="1"/>
    <col min="12036" max="12037" width="11.42578125" style="194" bestFit="1" customWidth="1"/>
    <col min="12038" max="12038" width="11.5703125" style="194" customWidth="1"/>
    <col min="12039" max="12041" width="11.42578125" style="194" bestFit="1" customWidth="1"/>
    <col min="12042" max="12042" width="12.28515625" style="194" customWidth="1"/>
    <col min="12043" max="12043" width="1.42578125" style="194" customWidth="1"/>
    <col min="12044" max="12044" width="74.140625" style="194" customWidth="1"/>
    <col min="12045" max="12288" width="8.85546875" style="194"/>
    <col min="12289" max="12289" width="2" style="194" customWidth="1"/>
    <col min="12290" max="12290" width="68.7109375" style="194" bestFit="1" customWidth="1"/>
    <col min="12291" max="12291" width="16" style="194" bestFit="1" customWidth="1"/>
    <col min="12292" max="12293" width="11.42578125" style="194" bestFit="1" customWidth="1"/>
    <col min="12294" max="12294" width="11.5703125" style="194" customWidth="1"/>
    <col min="12295" max="12297" width="11.42578125" style="194" bestFit="1" customWidth="1"/>
    <col min="12298" max="12298" width="12.28515625" style="194" customWidth="1"/>
    <col min="12299" max="12299" width="1.42578125" style="194" customWidth="1"/>
    <col min="12300" max="12300" width="74.140625" style="194" customWidth="1"/>
    <col min="12301" max="12544" width="8.85546875" style="194"/>
    <col min="12545" max="12545" width="2" style="194" customWidth="1"/>
    <col min="12546" max="12546" width="68.7109375" style="194" bestFit="1" customWidth="1"/>
    <col min="12547" max="12547" width="16" style="194" bestFit="1" customWidth="1"/>
    <col min="12548" max="12549" width="11.42578125" style="194" bestFit="1" customWidth="1"/>
    <col min="12550" max="12550" width="11.5703125" style="194" customWidth="1"/>
    <col min="12551" max="12553" width="11.42578125" style="194" bestFit="1" customWidth="1"/>
    <col min="12554" max="12554" width="12.28515625" style="194" customWidth="1"/>
    <col min="12555" max="12555" width="1.42578125" style="194" customWidth="1"/>
    <col min="12556" max="12556" width="74.140625" style="194" customWidth="1"/>
    <col min="12557" max="12800" width="8.85546875" style="194"/>
    <col min="12801" max="12801" width="2" style="194" customWidth="1"/>
    <col min="12802" max="12802" width="68.7109375" style="194" bestFit="1" customWidth="1"/>
    <col min="12803" max="12803" width="16" style="194" bestFit="1" customWidth="1"/>
    <col min="12804" max="12805" width="11.42578125" style="194" bestFit="1" customWidth="1"/>
    <col min="12806" max="12806" width="11.5703125" style="194" customWidth="1"/>
    <col min="12807" max="12809" width="11.42578125" style="194" bestFit="1" customWidth="1"/>
    <col min="12810" max="12810" width="12.28515625" style="194" customWidth="1"/>
    <col min="12811" max="12811" width="1.42578125" style="194" customWidth="1"/>
    <col min="12812" max="12812" width="74.140625" style="194" customWidth="1"/>
    <col min="12813" max="13056" width="8.85546875" style="194"/>
    <col min="13057" max="13057" width="2" style="194" customWidth="1"/>
    <col min="13058" max="13058" width="68.7109375" style="194" bestFit="1" customWidth="1"/>
    <col min="13059" max="13059" width="16" style="194" bestFit="1" customWidth="1"/>
    <col min="13060" max="13061" width="11.42578125" style="194" bestFit="1" customWidth="1"/>
    <col min="13062" max="13062" width="11.5703125" style="194" customWidth="1"/>
    <col min="13063" max="13065" width="11.42578125" style="194" bestFit="1" customWidth="1"/>
    <col min="13066" max="13066" width="12.28515625" style="194" customWidth="1"/>
    <col min="13067" max="13067" width="1.42578125" style="194" customWidth="1"/>
    <col min="13068" max="13068" width="74.140625" style="194" customWidth="1"/>
    <col min="13069" max="13312" width="8.85546875" style="194"/>
    <col min="13313" max="13313" width="2" style="194" customWidth="1"/>
    <col min="13314" max="13314" width="68.7109375" style="194" bestFit="1" customWidth="1"/>
    <col min="13315" max="13315" width="16" style="194" bestFit="1" customWidth="1"/>
    <col min="13316" max="13317" width="11.42578125" style="194" bestFit="1" customWidth="1"/>
    <col min="13318" max="13318" width="11.5703125" style="194" customWidth="1"/>
    <col min="13319" max="13321" width="11.42578125" style="194" bestFit="1" customWidth="1"/>
    <col min="13322" max="13322" width="12.28515625" style="194" customWidth="1"/>
    <col min="13323" max="13323" width="1.42578125" style="194" customWidth="1"/>
    <col min="13324" max="13324" width="74.140625" style="194" customWidth="1"/>
    <col min="13325" max="13568" width="8.85546875" style="194"/>
    <col min="13569" max="13569" width="2" style="194" customWidth="1"/>
    <col min="13570" max="13570" width="68.7109375" style="194" bestFit="1" customWidth="1"/>
    <col min="13571" max="13571" width="16" style="194" bestFit="1" customWidth="1"/>
    <col min="13572" max="13573" width="11.42578125" style="194" bestFit="1" customWidth="1"/>
    <col min="13574" max="13574" width="11.5703125" style="194" customWidth="1"/>
    <col min="13575" max="13577" width="11.42578125" style="194" bestFit="1" customWidth="1"/>
    <col min="13578" max="13578" width="12.28515625" style="194" customWidth="1"/>
    <col min="13579" max="13579" width="1.42578125" style="194" customWidth="1"/>
    <col min="13580" max="13580" width="74.140625" style="194" customWidth="1"/>
    <col min="13581" max="13824" width="8.85546875" style="194"/>
    <col min="13825" max="13825" width="2" style="194" customWidth="1"/>
    <col min="13826" max="13826" width="68.7109375" style="194" bestFit="1" customWidth="1"/>
    <col min="13827" max="13827" width="16" style="194" bestFit="1" customWidth="1"/>
    <col min="13828" max="13829" width="11.42578125" style="194" bestFit="1" customWidth="1"/>
    <col min="13830" max="13830" width="11.5703125" style="194" customWidth="1"/>
    <col min="13831" max="13833" width="11.42578125" style="194" bestFit="1" customWidth="1"/>
    <col min="13834" max="13834" width="12.28515625" style="194" customWidth="1"/>
    <col min="13835" max="13835" width="1.42578125" style="194" customWidth="1"/>
    <col min="13836" max="13836" width="74.140625" style="194" customWidth="1"/>
    <col min="13837" max="14080" width="8.85546875" style="194"/>
    <col min="14081" max="14081" width="2" style="194" customWidth="1"/>
    <col min="14082" max="14082" width="68.7109375" style="194" bestFit="1" customWidth="1"/>
    <col min="14083" max="14083" width="16" style="194" bestFit="1" customWidth="1"/>
    <col min="14084" max="14085" width="11.42578125" style="194" bestFit="1" customWidth="1"/>
    <col min="14086" max="14086" width="11.5703125" style="194" customWidth="1"/>
    <col min="14087" max="14089" width="11.42578125" style="194" bestFit="1" customWidth="1"/>
    <col min="14090" max="14090" width="12.28515625" style="194" customWidth="1"/>
    <col min="14091" max="14091" width="1.42578125" style="194" customWidth="1"/>
    <col min="14092" max="14092" width="74.140625" style="194" customWidth="1"/>
    <col min="14093" max="14336" width="8.85546875" style="194"/>
    <col min="14337" max="14337" width="2" style="194" customWidth="1"/>
    <col min="14338" max="14338" width="68.7109375" style="194" bestFit="1" customWidth="1"/>
    <col min="14339" max="14339" width="16" style="194" bestFit="1" customWidth="1"/>
    <col min="14340" max="14341" width="11.42578125" style="194" bestFit="1" customWidth="1"/>
    <col min="14342" max="14342" width="11.5703125" style="194" customWidth="1"/>
    <col min="14343" max="14345" width="11.42578125" style="194" bestFit="1" customWidth="1"/>
    <col min="14346" max="14346" width="12.28515625" style="194" customWidth="1"/>
    <col min="14347" max="14347" width="1.42578125" style="194" customWidth="1"/>
    <col min="14348" max="14348" width="74.140625" style="194" customWidth="1"/>
    <col min="14349" max="14592" width="8.85546875" style="194"/>
    <col min="14593" max="14593" width="2" style="194" customWidth="1"/>
    <col min="14594" max="14594" width="68.7109375" style="194" bestFit="1" customWidth="1"/>
    <col min="14595" max="14595" width="16" style="194" bestFit="1" customWidth="1"/>
    <col min="14596" max="14597" width="11.42578125" style="194" bestFit="1" customWidth="1"/>
    <col min="14598" max="14598" width="11.5703125" style="194" customWidth="1"/>
    <col min="14599" max="14601" width="11.42578125" style="194" bestFit="1" customWidth="1"/>
    <col min="14602" max="14602" width="12.28515625" style="194" customWidth="1"/>
    <col min="14603" max="14603" width="1.42578125" style="194" customWidth="1"/>
    <col min="14604" max="14604" width="74.140625" style="194" customWidth="1"/>
    <col min="14605" max="14848" width="8.85546875" style="194"/>
    <col min="14849" max="14849" width="2" style="194" customWidth="1"/>
    <col min="14850" max="14850" width="68.7109375" style="194" bestFit="1" customWidth="1"/>
    <col min="14851" max="14851" width="16" style="194" bestFit="1" customWidth="1"/>
    <col min="14852" max="14853" width="11.42578125" style="194" bestFit="1" customWidth="1"/>
    <col min="14854" max="14854" width="11.5703125" style="194" customWidth="1"/>
    <col min="14855" max="14857" width="11.42578125" style="194" bestFit="1" customWidth="1"/>
    <col min="14858" max="14858" width="12.28515625" style="194" customWidth="1"/>
    <col min="14859" max="14859" width="1.42578125" style="194" customWidth="1"/>
    <col min="14860" max="14860" width="74.140625" style="194" customWidth="1"/>
    <col min="14861" max="15104" width="8.85546875" style="194"/>
    <col min="15105" max="15105" width="2" style="194" customWidth="1"/>
    <col min="15106" max="15106" width="68.7109375" style="194" bestFit="1" customWidth="1"/>
    <col min="15107" max="15107" width="16" style="194" bestFit="1" customWidth="1"/>
    <col min="15108" max="15109" width="11.42578125" style="194" bestFit="1" customWidth="1"/>
    <col min="15110" max="15110" width="11.5703125" style="194" customWidth="1"/>
    <col min="15111" max="15113" width="11.42578125" style="194" bestFit="1" customWidth="1"/>
    <col min="15114" max="15114" width="12.28515625" style="194" customWidth="1"/>
    <col min="15115" max="15115" width="1.42578125" style="194" customWidth="1"/>
    <col min="15116" max="15116" width="74.140625" style="194" customWidth="1"/>
    <col min="15117" max="15360" width="8.85546875" style="194"/>
    <col min="15361" max="15361" width="2" style="194" customWidth="1"/>
    <col min="15362" max="15362" width="68.7109375" style="194" bestFit="1" customWidth="1"/>
    <col min="15363" max="15363" width="16" style="194" bestFit="1" customWidth="1"/>
    <col min="15364" max="15365" width="11.42578125" style="194" bestFit="1" customWidth="1"/>
    <col min="15366" max="15366" width="11.5703125" style="194" customWidth="1"/>
    <col min="15367" max="15369" width="11.42578125" style="194" bestFit="1" customWidth="1"/>
    <col min="15370" max="15370" width="12.28515625" style="194" customWidth="1"/>
    <col min="15371" max="15371" width="1.42578125" style="194" customWidth="1"/>
    <col min="15372" max="15372" width="74.140625" style="194" customWidth="1"/>
    <col min="15373" max="15616" width="8.85546875" style="194"/>
    <col min="15617" max="15617" width="2" style="194" customWidth="1"/>
    <col min="15618" max="15618" width="68.7109375" style="194" bestFit="1" customWidth="1"/>
    <col min="15619" max="15619" width="16" style="194" bestFit="1" customWidth="1"/>
    <col min="15620" max="15621" width="11.42578125" style="194" bestFit="1" customWidth="1"/>
    <col min="15622" max="15622" width="11.5703125" style="194" customWidth="1"/>
    <col min="15623" max="15625" width="11.42578125" style="194" bestFit="1" customWidth="1"/>
    <col min="15626" max="15626" width="12.28515625" style="194" customWidth="1"/>
    <col min="15627" max="15627" width="1.42578125" style="194" customWidth="1"/>
    <col min="15628" max="15628" width="74.140625" style="194" customWidth="1"/>
    <col min="15629" max="15872" width="8.85546875" style="194"/>
    <col min="15873" max="15873" width="2" style="194" customWidth="1"/>
    <col min="15874" max="15874" width="68.7109375" style="194" bestFit="1" customWidth="1"/>
    <col min="15875" max="15875" width="16" style="194" bestFit="1" customWidth="1"/>
    <col min="15876" max="15877" width="11.42578125" style="194" bestFit="1" customWidth="1"/>
    <col min="15878" max="15878" width="11.5703125" style="194" customWidth="1"/>
    <col min="15879" max="15881" width="11.42578125" style="194" bestFit="1" customWidth="1"/>
    <col min="15882" max="15882" width="12.28515625" style="194" customWidth="1"/>
    <col min="15883" max="15883" width="1.42578125" style="194" customWidth="1"/>
    <col min="15884" max="15884" width="74.140625" style="194" customWidth="1"/>
    <col min="15885" max="16128" width="8.85546875" style="194"/>
    <col min="16129" max="16129" width="2" style="194" customWidth="1"/>
    <col min="16130" max="16130" width="68.7109375" style="194" bestFit="1" customWidth="1"/>
    <col min="16131" max="16131" width="16" style="194" bestFit="1" customWidth="1"/>
    <col min="16132" max="16133" width="11.42578125" style="194" bestFit="1" customWidth="1"/>
    <col min="16134" max="16134" width="11.5703125" style="194" customWidth="1"/>
    <col min="16135" max="16137" width="11.42578125" style="194" bestFit="1" customWidth="1"/>
    <col min="16138" max="16138" width="12.28515625" style="194" customWidth="1"/>
    <col min="16139" max="16139" width="1.42578125" style="194" customWidth="1"/>
    <col min="16140" max="16140" width="74.140625" style="194" customWidth="1"/>
    <col min="16141" max="16384" width="8.85546875" style="194"/>
  </cols>
  <sheetData>
    <row r="1" spans="1:12" ht="15.75" thickBot="1">
      <c r="C1" s="194"/>
    </row>
    <row r="2" spans="1:12">
      <c r="B2" s="196"/>
      <c r="C2" s="197"/>
      <c r="D2" s="197"/>
      <c r="E2" s="198"/>
      <c r="F2" s="198"/>
      <c r="G2" s="198"/>
      <c r="H2" s="198"/>
      <c r="I2" s="198"/>
      <c r="J2" s="199"/>
      <c r="K2" s="200"/>
      <c r="L2" s="200"/>
    </row>
    <row r="3" spans="1:12" ht="15.75">
      <c r="B3" s="201" t="s">
        <v>283</v>
      </c>
      <c r="C3" s="200"/>
      <c r="D3" s="200"/>
      <c r="E3" s="202"/>
      <c r="F3" s="202"/>
      <c r="G3" s="202"/>
      <c r="H3" s="202"/>
      <c r="I3" s="202"/>
      <c r="J3" s="203"/>
      <c r="K3" s="200"/>
      <c r="L3" s="200"/>
    </row>
    <row r="4" spans="1:12">
      <c r="B4" s="204"/>
      <c r="C4" s="200"/>
      <c r="D4" s="200"/>
      <c r="E4" s="202"/>
      <c r="F4" s="202"/>
      <c r="G4" s="202"/>
      <c r="H4" s="202"/>
      <c r="I4" s="202"/>
      <c r="J4" s="203"/>
      <c r="K4" s="200"/>
      <c r="L4" s="200"/>
    </row>
    <row r="5" spans="1:12" ht="15.75">
      <c r="B5" s="205" t="s">
        <v>284</v>
      </c>
      <c r="C5" s="206">
        <v>32672000</v>
      </c>
      <c r="D5" s="200"/>
      <c r="E5" s="202"/>
      <c r="F5" s="202"/>
      <c r="G5" s="202"/>
      <c r="H5" s="202"/>
      <c r="I5" s="202"/>
      <c r="J5" s="203"/>
      <c r="K5" s="200"/>
      <c r="L5" s="200"/>
    </row>
    <row r="6" spans="1:12" ht="11.25" customHeight="1">
      <c r="B6" s="204"/>
      <c r="C6" s="207"/>
      <c r="D6" s="200"/>
      <c r="E6" s="202"/>
      <c r="F6" s="202"/>
      <c r="G6" s="202"/>
      <c r="H6" s="202"/>
      <c r="I6" s="202"/>
      <c r="J6" s="203"/>
      <c r="K6" s="200"/>
      <c r="L6" s="208"/>
    </row>
    <row r="7" spans="1:12" ht="30.75" customHeight="1">
      <c r="B7" s="529" t="s">
        <v>285</v>
      </c>
      <c r="C7" s="530"/>
      <c r="D7" s="530"/>
      <c r="E7" s="530"/>
      <c r="F7" s="508"/>
      <c r="G7" s="508" t="s">
        <v>286</v>
      </c>
      <c r="H7" s="508"/>
      <c r="I7" s="508"/>
      <c r="J7" s="203"/>
      <c r="K7" s="200"/>
      <c r="L7" s="200"/>
    </row>
    <row r="8" spans="1:12" ht="15.75">
      <c r="B8" s="204" t="s">
        <v>287</v>
      </c>
      <c r="C8" s="207">
        <f>C5*D8</f>
        <v>980160</v>
      </c>
      <c r="D8" s="210">
        <v>0.03</v>
      </c>
      <c r="E8" s="202"/>
      <c r="F8" s="202"/>
      <c r="G8" s="211">
        <f>D44</f>
        <v>1095000</v>
      </c>
      <c r="H8" s="212">
        <f>G8/$C$5</f>
        <v>3.3514936336924581E-2</v>
      </c>
      <c r="I8" s="202"/>
      <c r="J8" s="203"/>
      <c r="K8" s="200"/>
      <c r="L8" s="200"/>
    </row>
    <row r="9" spans="1:12" ht="15.75">
      <c r="B9" s="204" t="s">
        <v>288</v>
      </c>
      <c r="C9" s="207">
        <f>C5*D9</f>
        <v>1992992</v>
      </c>
      <c r="D9" s="213">
        <v>6.0999999999999999E-2</v>
      </c>
      <c r="E9" s="202"/>
      <c r="F9" s="202"/>
      <c r="G9" s="211">
        <f>E44</f>
        <v>2195600</v>
      </c>
      <c r="H9" s="213">
        <f>G9/$C$5</f>
        <v>6.7201273261508321E-2</v>
      </c>
      <c r="I9" s="202"/>
      <c r="J9" s="203"/>
      <c r="K9" s="200"/>
      <c r="L9" s="200"/>
    </row>
    <row r="10" spans="1:12" ht="15.75">
      <c r="B10" s="204" t="s">
        <v>289</v>
      </c>
      <c r="C10" s="207">
        <f>C5*D10</f>
        <v>3365216</v>
      </c>
      <c r="D10" s="213">
        <v>0.10299999999999999</v>
      </c>
      <c r="E10" s="202"/>
      <c r="F10" s="202"/>
      <c r="G10" s="211">
        <f>F44</f>
        <v>3602600</v>
      </c>
      <c r="H10" s="213">
        <f>G10/$C$5</f>
        <v>0.11026567091087169</v>
      </c>
      <c r="I10" s="202"/>
      <c r="J10" s="203"/>
      <c r="K10" s="200"/>
      <c r="L10" s="200"/>
    </row>
    <row r="11" spans="1:12">
      <c r="B11" s="204"/>
      <c r="C11" s="200"/>
      <c r="D11" s="200"/>
      <c r="E11" s="202"/>
      <c r="F11" s="202"/>
      <c r="G11" s="202"/>
      <c r="H11" s="202"/>
      <c r="I11" s="202"/>
      <c r="J11" s="203"/>
      <c r="K11" s="200"/>
      <c r="L11" s="200"/>
    </row>
    <row r="12" spans="1:12" ht="30">
      <c r="B12" s="214" t="s">
        <v>290</v>
      </c>
      <c r="C12" s="200"/>
      <c r="D12" s="200"/>
      <c r="E12" s="202"/>
      <c r="F12" s="202"/>
      <c r="G12" s="202"/>
      <c r="H12" s="202"/>
      <c r="I12" s="202"/>
      <c r="J12" s="203"/>
      <c r="K12" s="200"/>
      <c r="L12" s="200"/>
    </row>
    <row r="13" spans="1:12" ht="15.75" thickBot="1">
      <c r="B13" s="215"/>
      <c r="C13" s="216"/>
      <c r="D13" s="217"/>
      <c r="E13" s="218"/>
      <c r="F13" s="218"/>
      <c r="G13" s="218"/>
      <c r="H13" s="218"/>
      <c r="I13" s="218"/>
      <c r="J13" s="219"/>
    </row>
    <row r="14" spans="1:12">
      <c r="B14" s="220"/>
      <c r="C14" s="200"/>
      <c r="D14" s="200"/>
      <c r="E14" s="202"/>
      <c r="F14" s="202"/>
      <c r="G14" s="202"/>
      <c r="H14" s="202"/>
      <c r="I14" s="202"/>
      <c r="J14" s="200"/>
      <c r="K14" s="221"/>
      <c r="L14" s="221"/>
    </row>
    <row r="15" spans="1:12" ht="47.25">
      <c r="A15" s="222"/>
      <c r="B15" s="223" t="s">
        <v>291</v>
      </c>
      <c r="C15" s="224" t="s">
        <v>292</v>
      </c>
      <c r="D15" s="225" t="s">
        <v>293</v>
      </c>
      <c r="E15" s="226" t="s">
        <v>294</v>
      </c>
      <c r="F15" s="226" t="s">
        <v>295</v>
      </c>
      <c r="G15" s="226" t="s">
        <v>296</v>
      </c>
      <c r="H15" s="226" t="s">
        <v>297</v>
      </c>
      <c r="I15" s="226" t="s">
        <v>298</v>
      </c>
      <c r="J15" s="227" t="s">
        <v>299</v>
      </c>
      <c r="K15" s="200"/>
      <c r="L15" s="228" t="s">
        <v>300</v>
      </c>
    </row>
    <row r="16" spans="1:12" ht="15.75">
      <c r="B16" s="229"/>
      <c r="C16" s="200"/>
      <c r="D16" s="200"/>
      <c r="E16" s="202"/>
      <c r="F16" s="202"/>
      <c r="G16" s="202"/>
      <c r="H16" s="202"/>
      <c r="I16" s="202"/>
      <c r="J16" s="200"/>
      <c r="K16" s="200"/>
      <c r="L16" s="200"/>
    </row>
    <row r="17" spans="1:12" ht="15.75">
      <c r="B17" s="531"/>
      <c r="C17" s="532"/>
      <c r="D17" s="200"/>
      <c r="E17" s="202"/>
      <c r="F17" s="202"/>
      <c r="G17" s="202"/>
      <c r="H17" s="202"/>
      <c r="I17" s="202"/>
      <c r="J17" s="200"/>
      <c r="K17" s="200"/>
      <c r="L17" s="200"/>
    </row>
    <row r="18" spans="1:12">
      <c r="B18" s="230" t="s">
        <v>48</v>
      </c>
      <c r="C18" s="200" t="s">
        <v>301</v>
      </c>
      <c r="D18" s="207">
        <v>35000</v>
      </c>
      <c r="E18" s="211">
        <v>35000</v>
      </c>
      <c r="F18" s="211">
        <v>35000</v>
      </c>
      <c r="G18" s="211">
        <v>35000</v>
      </c>
      <c r="H18" s="211">
        <v>35000</v>
      </c>
      <c r="I18" s="211">
        <v>35000</v>
      </c>
      <c r="J18" s="211">
        <v>35000</v>
      </c>
      <c r="K18" s="200"/>
      <c r="L18" s="200" t="s">
        <v>101</v>
      </c>
    </row>
    <row r="19" spans="1:12">
      <c r="B19" s="230" t="s">
        <v>102</v>
      </c>
      <c r="C19" s="200" t="s">
        <v>301</v>
      </c>
      <c r="D19" s="207">
        <v>23000</v>
      </c>
      <c r="E19" s="211">
        <v>46000</v>
      </c>
      <c r="F19" s="211">
        <v>43000</v>
      </c>
      <c r="G19" s="211">
        <v>43000</v>
      </c>
      <c r="H19" s="211">
        <v>46000</v>
      </c>
      <c r="I19" s="211">
        <v>46000</v>
      </c>
      <c r="J19" s="211">
        <v>46000</v>
      </c>
      <c r="K19" s="200"/>
      <c r="L19" s="200" t="s">
        <v>302</v>
      </c>
    </row>
    <row r="20" spans="1:12" ht="30">
      <c r="B20" s="230" t="s">
        <v>303</v>
      </c>
      <c r="C20" s="200" t="s">
        <v>301</v>
      </c>
      <c r="D20" s="207">
        <v>37000</v>
      </c>
      <c r="E20" s="211">
        <v>57000</v>
      </c>
      <c r="F20" s="211">
        <v>80000</v>
      </c>
      <c r="G20" s="211">
        <v>103000</v>
      </c>
      <c r="H20" s="211">
        <v>126000</v>
      </c>
      <c r="I20" s="211">
        <v>126000</v>
      </c>
      <c r="J20" s="211">
        <v>126000</v>
      </c>
      <c r="K20" s="200"/>
      <c r="L20" s="208" t="s">
        <v>304</v>
      </c>
    </row>
    <row r="21" spans="1:12">
      <c r="B21" s="230" t="s">
        <v>103</v>
      </c>
      <c r="C21" s="200" t="s">
        <v>301</v>
      </c>
      <c r="D21" s="207">
        <v>0</v>
      </c>
      <c r="E21" s="211">
        <v>0</v>
      </c>
      <c r="F21" s="211">
        <v>0</v>
      </c>
      <c r="G21" s="211">
        <v>0</v>
      </c>
      <c r="H21" s="211">
        <v>40000</v>
      </c>
      <c r="I21" s="211">
        <v>40000</v>
      </c>
      <c r="J21" s="211">
        <v>40000</v>
      </c>
      <c r="K21" s="200"/>
      <c r="L21" s="200" t="s">
        <v>104</v>
      </c>
    </row>
    <row r="22" spans="1:12">
      <c r="B22" s="230" t="s">
        <v>107</v>
      </c>
      <c r="C22" s="200" t="s">
        <v>301</v>
      </c>
      <c r="D22" s="207">
        <v>15000</v>
      </c>
      <c r="E22" s="211">
        <v>29000</v>
      </c>
      <c r="F22" s="211">
        <v>20000</v>
      </c>
      <c r="G22" s="211">
        <v>20000</v>
      </c>
      <c r="H22" s="211">
        <v>29000</v>
      </c>
      <c r="I22" s="211">
        <v>29000</v>
      </c>
      <c r="J22" s="211">
        <v>29000</v>
      </c>
      <c r="K22" s="200"/>
      <c r="L22" s="208" t="s">
        <v>108</v>
      </c>
    </row>
    <row r="23" spans="1:12" ht="30">
      <c r="B23" s="230" t="s">
        <v>305</v>
      </c>
      <c r="C23" s="200" t="s">
        <v>301</v>
      </c>
      <c r="D23" s="207">
        <v>0</v>
      </c>
      <c r="E23" s="211">
        <v>0</v>
      </c>
      <c r="F23" s="211">
        <v>1500</v>
      </c>
      <c r="G23" s="211">
        <v>0</v>
      </c>
      <c r="H23" s="211">
        <v>27000</v>
      </c>
      <c r="I23" s="211">
        <v>27000</v>
      </c>
      <c r="J23" s="211">
        <v>27000</v>
      </c>
      <c r="K23" s="200"/>
      <c r="L23" s="208" t="s">
        <v>306</v>
      </c>
    </row>
    <row r="24" spans="1:12">
      <c r="B24" s="230" t="s">
        <v>109</v>
      </c>
      <c r="C24" s="200" t="s">
        <v>301</v>
      </c>
      <c r="D24" s="207">
        <v>0</v>
      </c>
      <c r="E24" s="211">
        <v>0</v>
      </c>
      <c r="F24" s="211">
        <v>0</v>
      </c>
      <c r="G24" s="211">
        <v>0</v>
      </c>
      <c r="H24" s="211">
        <v>7000</v>
      </c>
      <c r="I24" s="211">
        <v>7000</v>
      </c>
      <c r="J24" s="211">
        <v>7000</v>
      </c>
      <c r="K24" s="200"/>
      <c r="L24" s="200" t="s">
        <v>110</v>
      </c>
    </row>
    <row r="25" spans="1:12">
      <c r="B25" s="230" t="s">
        <v>111</v>
      </c>
      <c r="C25" s="200" t="s">
        <v>301</v>
      </c>
      <c r="D25" s="207">
        <v>0</v>
      </c>
      <c r="E25" s="211">
        <v>0</v>
      </c>
      <c r="F25" s="211">
        <v>0</v>
      </c>
      <c r="G25" s="211">
        <v>0</v>
      </c>
      <c r="H25" s="211">
        <v>36000</v>
      </c>
      <c r="I25" s="211">
        <v>36000</v>
      </c>
      <c r="J25" s="211">
        <v>36000</v>
      </c>
      <c r="K25" s="200"/>
      <c r="L25" s="200" t="s">
        <v>112</v>
      </c>
    </row>
    <row r="26" spans="1:12">
      <c r="B26" s="230" t="s">
        <v>84</v>
      </c>
      <c r="C26" s="200" t="s">
        <v>301</v>
      </c>
      <c r="D26" s="207">
        <v>0</v>
      </c>
      <c r="E26" s="211">
        <v>3000</v>
      </c>
      <c r="F26" s="211">
        <v>75000</v>
      </c>
      <c r="G26" s="211">
        <v>30000</v>
      </c>
      <c r="H26" s="211">
        <v>126000</v>
      </c>
      <c r="I26" s="211">
        <v>127000</v>
      </c>
      <c r="J26" s="207">
        <v>127000</v>
      </c>
      <c r="K26" s="200"/>
      <c r="L26" s="200" t="s">
        <v>113</v>
      </c>
    </row>
    <row r="27" spans="1:12" ht="30">
      <c r="B27" s="230" t="s">
        <v>307</v>
      </c>
      <c r="C27" s="200" t="s">
        <v>301</v>
      </c>
      <c r="D27" s="207">
        <v>100000</v>
      </c>
      <c r="E27" s="211">
        <v>100000</v>
      </c>
      <c r="F27" s="211">
        <v>100000</v>
      </c>
      <c r="G27" s="211">
        <v>100000</v>
      </c>
      <c r="H27" s="211">
        <v>100000</v>
      </c>
      <c r="I27" s="211">
        <v>100000</v>
      </c>
      <c r="J27" s="211">
        <v>100000</v>
      </c>
      <c r="K27" s="200"/>
      <c r="L27" s="208" t="s">
        <v>308</v>
      </c>
    </row>
    <row r="28" spans="1:12">
      <c r="B28" s="230"/>
      <c r="C28" s="200"/>
      <c r="D28" s="207"/>
      <c r="E28" s="211"/>
      <c r="F28" s="211"/>
      <c r="G28" s="211"/>
      <c r="H28" s="211"/>
      <c r="I28" s="211"/>
      <c r="J28" s="211"/>
      <c r="K28" s="200"/>
      <c r="L28" s="208"/>
    </row>
    <row r="29" spans="1:12" ht="15.75">
      <c r="B29" s="231" t="s">
        <v>309</v>
      </c>
      <c r="C29" s="200"/>
      <c r="D29" s="232">
        <f>SUM(D18:D28)</f>
        <v>210000</v>
      </c>
      <c r="E29" s="232">
        <f t="shared" ref="E29:J29" si="0">SUM(E18:E28)</f>
        <v>270000</v>
      </c>
      <c r="F29" s="232">
        <f t="shared" si="0"/>
        <v>354500</v>
      </c>
      <c r="G29" s="232">
        <f t="shared" si="0"/>
        <v>331000</v>
      </c>
      <c r="H29" s="232">
        <f t="shared" si="0"/>
        <v>572000</v>
      </c>
      <c r="I29" s="232">
        <f t="shared" si="0"/>
        <v>573000</v>
      </c>
      <c r="J29" s="232">
        <f t="shared" si="0"/>
        <v>573000</v>
      </c>
      <c r="K29" s="200"/>
      <c r="L29" s="208"/>
    </row>
    <row r="30" spans="1:12">
      <c r="B30" s="230"/>
      <c r="C30" s="200"/>
      <c r="D30" s="207"/>
      <c r="E30" s="211"/>
      <c r="F30" s="211"/>
      <c r="G30" s="211"/>
      <c r="H30" s="211"/>
      <c r="I30" s="211"/>
      <c r="J30" s="211"/>
      <c r="K30" s="200"/>
      <c r="L30" s="208"/>
    </row>
    <row r="31" spans="1:12" ht="30">
      <c r="A31" s="194">
        <v>1</v>
      </c>
      <c r="B31" s="230" t="s">
        <v>100</v>
      </c>
      <c r="C31" s="200" t="s">
        <v>301</v>
      </c>
      <c r="D31" s="207">
        <v>25000</v>
      </c>
      <c r="E31" s="211">
        <v>25000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00"/>
      <c r="L31" s="208" t="s">
        <v>310</v>
      </c>
    </row>
    <row r="32" spans="1:12">
      <c r="A32" s="194">
        <v>1</v>
      </c>
      <c r="B32" s="230" t="s">
        <v>311</v>
      </c>
      <c r="C32" s="200" t="s">
        <v>301</v>
      </c>
      <c r="D32" s="207">
        <v>0</v>
      </c>
      <c r="E32" s="211">
        <v>0</v>
      </c>
      <c r="F32" s="211">
        <v>42000</v>
      </c>
      <c r="G32" s="211">
        <v>93000</v>
      </c>
      <c r="H32" s="211">
        <v>93000</v>
      </c>
      <c r="I32" s="211">
        <v>93000</v>
      </c>
      <c r="J32" s="211">
        <v>93000</v>
      </c>
      <c r="K32" s="200"/>
      <c r="L32" s="208" t="s">
        <v>312</v>
      </c>
    </row>
    <row r="33" spans="1:12">
      <c r="A33" s="194">
        <v>1</v>
      </c>
      <c r="B33" s="230" t="s">
        <v>114</v>
      </c>
      <c r="C33" s="200" t="s">
        <v>301</v>
      </c>
      <c r="D33" s="207">
        <v>0</v>
      </c>
      <c r="E33" s="211">
        <v>163000</v>
      </c>
      <c r="F33" s="211">
        <v>0</v>
      </c>
      <c r="G33" s="211">
        <v>0</v>
      </c>
      <c r="H33" s="211">
        <v>0</v>
      </c>
      <c r="I33" s="211">
        <v>0</v>
      </c>
      <c r="J33" s="207">
        <v>0</v>
      </c>
      <c r="K33" s="200"/>
      <c r="L33" s="200" t="s">
        <v>113</v>
      </c>
    </row>
    <row r="34" spans="1:12">
      <c r="A34" s="194">
        <v>2</v>
      </c>
      <c r="B34" s="230" t="s">
        <v>105</v>
      </c>
      <c r="C34" s="200" t="s">
        <v>313</v>
      </c>
      <c r="D34" s="207">
        <v>206000</v>
      </c>
      <c r="E34" s="211">
        <v>245000</v>
      </c>
      <c r="F34" s="211">
        <v>245000</v>
      </c>
      <c r="G34" s="211">
        <v>245000</v>
      </c>
      <c r="H34" s="211">
        <v>245000</v>
      </c>
      <c r="I34" s="211">
        <v>245000</v>
      </c>
      <c r="J34" s="211">
        <v>245000</v>
      </c>
      <c r="K34" s="200"/>
      <c r="L34" s="200" t="s">
        <v>106</v>
      </c>
    </row>
    <row r="35" spans="1:12">
      <c r="A35" s="194">
        <v>2</v>
      </c>
      <c r="B35" s="230" t="s">
        <v>314</v>
      </c>
      <c r="C35" s="200" t="s">
        <v>313</v>
      </c>
      <c r="D35" s="207">
        <v>2000</v>
      </c>
      <c r="E35" s="211">
        <v>0</v>
      </c>
      <c r="F35" s="211">
        <v>0</v>
      </c>
      <c r="G35" s="211">
        <v>0</v>
      </c>
      <c r="H35" s="211">
        <v>0</v>
      </c>
      <c r="I35" s="211">
        <v>0</v>
      </c>
      <c r="J35" s="200">
        <v>0</v>
      </c>
      <c r="K35" s="200"/>
      <c r="L35" s="200" t="s">
        <v>315</v>
      </c>
    </row>
    <row r="36" spans="1:12">
      <c r="B36" s="233" t="s">
        <v>316</v>
      </c>
      <c r="C36" s="200" t="s">
        <v>313</v>
      </c>
      <c r="D36" s="207">
        <v>0</v>
      </c>
      <c r="E36" s="211">
        <v>0</v>
      </c>
      <c r="F36" s="211">
        <v>503000</v>
      </c>
      <c r="G36" s="211">
        <v>503000</v>
      </c>
      <c r="H36" s="211">
        <v>503000</v>
      </c>
      <c r="I36" s="211">
        <v>503000</v>
      </c>
      <c r="J36" s="200">
        <v>503000</v>
      </c>
      <c r="K36" s="200"/>
      <c r="L36" s="200" t="s">
        <v>317</v>
      </c>
    </row>
    <row r="37" spans="1:12">
      <c r="A37" s="222">
        <v>3</v>
      </c>
      <c r="B37" s="233" t="s">
        <v>318</v>
      </c>
      <c r="C37" s="200" t="s">
        <v>313</v>
      </c>
      <c r="D37" s="207">
        <v>499000</v>
      </c>
      <c r="E37" s="234">
        <v>785600</v>
      </c>
      <c r="F37" s="234">
        <v>537100</v>
      </c>
      <c r="G37" s="234">
        <v>537100</v>
      </c>
      <c r="H37" s="234">
        <v>537100</v>
      </c>
      <c r="I37" s="234">
        <v>537100</v>
      </c>
      <c r="J37" s="234">
        <v>537100</v>
      </c>
      <c r="K37" s="200"/>
      <c r="L37" s="194" t="s">
        <v>319</v>
      </c>
    </row>
    <row r="38" spans="1:12">
      <c r="A38" s="222"/>
      <c r="B38" s="235"/>
      <c r="C38" s="200"/>
      <c r="D38" s="207"/>
      <c r="E38" s="234"/>
      <c r="F38" s="234"/>
      <c r="G38" s="234"/>
      <c r="H38" s="234"/>
      <c r="I38" s="234"/>
      <c r="J38" s="234"/>
      <c r="K38" s="200"/>
    </row>
    <row r="39" spans="1:12">
      <c r="A39" s="222"/>
      <c r="B39" s="236" t="s">
        <v>320</v>
      </c>
      <c r="C39" s="200" t="s">
        <v>321</v>
      </c>
      <c r="D39" s="207">
        <v>153000</v>
      </c>
      <c r="E39" s="211">
        <v>402000</v>
      </c>
      <c r="F39" s="211">
        <v>440000</v>
      </c>
      <c r="G39" s="211">
        <v>440000</v>
      </c>
      <c r="H39" s="211">
        <v>1040000</v>
      </c>
      <c r="I39" s="211">
        <v>1040000</v>
      </c>
      <c r="J39" s="211">
        <v>1040000</v>
      </c>
      <c r="K39" s="200"/>
      <c r="L39" s="237" t="s">
        <v>322</v>
      </c>
    </row>
    <row r="40" spans="1:12" ht="32.25" customHeight="1">
      <c r="A40" s="222"/>
      <c r="B40" s="238" t="s">
        <v>323</v>
      </c>
      <c r="C40" s="200" t="s">
        <v>321</v>
      </c>
      <c r="D40" s="207">
        <v>0</v>
      </c>
      <c r="E40" s="211">
        <v>305000</v>
      </c>
      <c r="F40" s="211">
        <v>1481000</v>
      </c>
      <c r="G40" s="211">
        <v>2000000</v>
      </c>
      <c r="H40" s="211">
        <v>2000000</v>
      </c>
      <c r="I40" s="211">
        <v>2000000</v>
      </c>
      <c r="J40" s="211">
        <v>2000000</v>
      </c>
      <c r="K40" s="200"/>
      <c r="L40" s="208" t="s">
        <v>324</v>
      </c>
    </row>
    <row r="41" spans="1:12">
      <c r="A41" s="222"/>
      <c r="B41" s="239"/>
      <c r="C41" s="200"/>
      <c r="D41" s="207"/>
      <c r="E41" s="211"/>
      <c r="F41" s="211"/>
      <c r="G41" s="211"/>
      <c r="H41" s="211"/>
      <c r="I41" s="211"/>
      <c r="J41" s="211"/>
      <c r="K41" s="200"/>
      <c r="L41" s="237"/>
    </row>
    <row r="42" spans="1:12" ht="15.75">
      <c r="A42" s="222"/>
      <c r="B42" s="240" t="s">
        <v>309</v>
      </c>
      <c r="C42" s="200"/>
      <c r="D42" s="232">
        <f>SUM(D31:D41)</f>
        <v>885000</v>
      </c>
      <c r="E42" s="232">
        <f t="shared" ref="E42:J42" si="1">SUM(E31:E41)</f>
        <v>1925600</v>
      </c>
      <c r="F42" s="232">
        <f t="shared" si="1"/>
        <v>3248100</v>
      </c>
      <c r="G42" s="232">
        <f t="shared" si="1"/>
        <v>3818100</v>
      </c>
      <c r="H42" s="232">
        <f t="shared" si="1"/>
        <v>4418100</v>
      </c>
      <c r="I42" s="232">
        <f t="shared" si="1"/>
        <v>4418100</v>
      </c>
      <c r="J42" s="232">
        <f t="shared" si="1"/>
        <v>4418100</v>
      </c>
      <c r="K42" s="200"/>
      <c r="L42" s="237"/>
    </row>
    <row r="43" spans="1:12">
      <c r="A43" s="241"/>
      <c r="B43" s="202"/>
      <c r="C43" s="200"/>
      <c r="D43" s="207"/>
      <c r="F43" s="211"/>
      <c r="G43" s="211"/>
      <c r="H43" s="211"/>
      <c r="I43" s="211"/>
      <c r="K43" s="200"/>
    </row>
    <row r="44" spans="1:12" ht="16.5" thickBot="1">
      <c r="A44" s="222"/>
      <c r="B44" s="242" t="s">
        <v>325</v>
      </c>
      <c r="C44" s="200"/>
      <c r="D44" s="243">
        <f>SUM(D29+D42)</f>
        <v>1095000</v>
      </c>
      <c r="E44" s="243">
        <f t="shared" ref="E44:J44" si="2">SUM(E29+E42)</f>
        <v>2195600</v>
      </c>
      <c r="F44" s="243">
        <f t="shared" si="2"/>
        <v>3602600</v>
      </c>
      <c r="G44" s="243">
        <f t="shared" si="2"/>
        <v>4149100</v>
      </c>
      <c r="H44" s="243">
        <f t="shared" si="2"/>
        <v>4990100</v>
      </c>
      <c r="I44" s="243">
        <f t="shared" si="2"/>
        <v>4991100</v>
      </c>
      <c r="J44" s="243">
        <f t="shared" si="2"/>
        <v>4991100</v>
      </c>
      <c r="K44" s="200"/>
      <c r="L44" s="208"/>
    </row>
    <row r="45" spans="1:12" ht="15.75">
      <c r="A45" s="222"/>
      <c r="B45" s="242"/>
      <c r="C45" s="200"/>
      <c r="D45" s="207"/>
      <c r="E45" s="207"/>
      <c r="F45" s="207"/>
      <c r="G45" s="207"/>
      <c r="H45" s="207"/>
      <c r="I45" s="207"/>
      <c r="J45" s="207"/>
      <c r="K45" s="200"/>
      <c r="L45" s="208"/>
    </row>
    <row r="46" spans="1:12" ht="15.75">
      <c r="A46" s="222"/>
      <c r="B46" s="244"/>
      <c r="C46" s="200"/>
      <c r="D46" s="207"/>
      <c r="E46" s="207"/>
      <c r="F46" s="207"/>
      <c r="G46" s="207"/>
      <c r="H46" s="207"/>
      <c r="I46" s="207"/>
      <c r="J46" s="207"/>
      <c r="K46" s="200"/>
      <c r="L46" s="208"/>
    </row>
    <row r="47" spans="1:12">
      <c r="A47" s="222"/>
      <c r="C47" s="200"/>
      <c r="D47" s="207"/>
      <c r="E47" s="211"/>
      <c r="F47" s="211"/>
      <c r="G47" s="211"/>
      <c r="H47" s="211"/>
      <c r="I47" s="211"/>
      <c r="J47" s="207"/>
      <c r="K47" s="200"/>
      <c r="L47" s="200"/>
    </row>
    <row r="48" spans="1:12" ht="47.25" hidden="1">
      <c r="A48" s="222"/>
      <c r="B48" s="245" t="s">
        <v>326</v>
      </c>
      <c r="C48" s="200"/>
      <c r="D48" s="225" t="s">
        <v>293</v>
      </c>
      <c r="E48" s="226" t="s">
        <v>294</v>
      </c>
      <c r="F48" s="226" t="s">
        <v>295</v>
      </c>
      <c r="G48" s="226" t="s">
        <v>296</v>
      </c>
      <c r="H48" s="226" t="s">
        <v>297</v>
      </c>
      <c r="I48" s="226" t="s">
        <v>298</v>
      </c>
      <c r="J48" s="227" t="s">
        <v>299</v>
      </c>
      <c r="K48" s="200"/>
      <c r="L48" s="200"/>
    </row>
    <row r="49" spans="1:12" hidden="1">
      <c r="A49" s="222"/>
      <c r="B49" s="239" t="s">
        <v>327</v>
      </c>
      <c r="C49" s="200" t="s">
        <v>321</v>
      </c>
      <c r="D49" s="246">
        <v>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  <c r="K49" s="200"/>
      <c r="L49" s="200" t="s">
        <v>328</v>
      </c>
    </row>
    <row r="50" spans="1:12" hidden="1">
      <c r="A50" s="222"/>
      <c r="B50" s="239" t="s">
        <v>329</v>
      </c>
      <c r="C50" s="200" t="s">
        <v>321</v>
      </c>
      <c r="D50" s="246">
        <v>0</v>
      </c>
      <c r="E50" s="247">
        <v>0</v>
      </c>
      <c r="F50" s="247">
        <v>0</v>
      </c>
      <c r="G50" s="247">
        <v>0</v>
      </c>
      <c r="H50" s="247">
        <v>0</v>
      </c>
      <c r="I50" s="247">
        <v>0</v>
      </c>
      <c r="J50" s="247">
        <v>0</v>
      </c>
      <c r="K50" s="200"/>
      <c r="L50" s="200" t="s">
        <v>330</v>
      </c>
    </row>
    <row r="51" spans="1:12" hidden="1">
      <c r="A51" s="222"/>
      <c r="B51" s="239" t="s">
        <v>331</v>
      </c>
      <c r="C51" s="200" t="s">
        <v>321</v>
      </c>
      <c r="D51" s="246">
        <v>0</v>
      </c>
      <c r="E51" s="247">
        <v>0</v>
      </c>
      <c r="F51" s="247">
        <v>0</v>
      </c>
      <c r="G51" s="247">
        <v>0</v>
      </c>
      <c r="H51" s="247">
        <v>0</v>
      </c>
      <c r="I51" s="247">
        <v>0</v>
      </c>
      <c r="J51" s="247">
        <v>0</v>
      </c>
      <c r="K51" s="200"/>
      <c r="L51" s="208" t="s">
        <v>332</v>
      </c>
    </row>
    <row r="52" spans="1:12" hidden="1">
      <c r="A52" s="222"/>
      <c r="B52" s="239" t="s">
        <v>333</v>
      </c>
      <c r="C52" s="200" t="s">
        <v>321</v>
      </c>
      <c r="D52" s="246">
        <v>0</v>
      </c>
      <c r="E52" s="247">
        <v>0</v>
      </c>
      <c r="F52" s="247">
        <v>0</v>
      </c>
      <c r="G52" s="247">
        <v>0</v>
      </c>
      <c r="H52" s="247">
        <v>0</v>
      </c>
      <c r="I52" s="247">
        <v>0</v>
      </c>
      <c r="J52" s="247">
        <v>0</v>
      </c>
      <c r="K52" s="200"/>
      <c r="L52" s="200" t="s">
        <v>334</v>
      </c>
    </row>
    <row r="53" spans="1:12" hidden="1">
      <c r="A53" s="222"/>
      <c r="B53" s="239" t="s">
        <v>335</v>
      </c>
      <c r="C53" s="200" t="s">
        <v>321</v>
      </c>
      <c r="D53" s="246">
        <v>0</v>
      </c>
      <c r="E53" s="247">
        <v>0</v>
      </c>
      <c r="F53" s="247">
        <v>0</v>
      </c>
      <c r="G53" s="247">
        <v>0</v>
      </c>
      <c r="H53" s="247">
        <v>0</v>
      </c>
      <c r="I53" s="247">
        <v>0</v>
      </c>
      <c r="J53" s="247">
        <v>0</v>
      </c>
      <c r="K53" s="200"/>
      <c r="L53" s="200" t="s">
        <v>336</v>
      </c>
    </row>
    <row r="54" spans="1:12" hidden="1">
      <c r="A54" s="222"/>
      <c r="B54" s="239" t="s">
        <v>337</v>
      </c>
      <c r="C54" s="200" t="s">
        <v>321</v>
      </c>
      <c r="D54" s="246">
        <v>0</v>
      </c>
      <c r="E54" s="247">
        <v>0</v>
      </c>
      <c r="F54" s="247">
        <v>0</v>
      </c>
      <c r="G54" s="247">
        <v>0</v>
      </c>
      <c r="H54" s="247">
        <v>0</v>
      </c>
      <c r="I54" s="247">
        <v>0</v>
      </c>
      <c r="J54" s="247">
        <v>0</v>
      </c>
      <c r="K54" s="200"/>
      <c r="L54" s="200" t="s">
        <v>338</v>
      </c>
    </row>
    <row r="55" spans="1:12" hidden="1">
      <c r="A55" s="222"/>
      <c r="B55" s="239" t="s">
        <v>339</v>
      </c>
      <c r="C55" s="200" t="s">
        <v>321</v>
      </c>
      <c r="D55" s="248">
        <v>0</v>
      </c>
      <c r="E55" s="249">
        <v>0</v>
      </c>
      <c r="F55" s="249">
        <v>0</v>
      </c>
      <c r="G55" s="249">
        <v>0</v>
      </c>
      <c r="H55" s="249">
        <v>0</v>
      </c>
      <c r="I55" s="249">
        <v>0</v>
      </c>
      <c r="J55" s="249">
        <v>0</v>
      </c>
      <c r="K55" s="200"/>
      <c r="L55" s="200" t="s">
        <v>340</v>
      </c>
    </row>
    <row r="56" spans="1:12" hidden="1">
      <c r="B56" s="250" t="s">
        <v>341</v>
      </c>
      <c r="C56" s="200" t="s">
        <v>321</v>
      </c>
      <c r="D56" s="246">
        <v>0</v>
      </c>
      <c r="E56" s="247">
        <v>0</v>
      </c>
      <c r="F56" s="247">
        <v>0</v>
      </c>
      <c r="G56" s="247">
        <v>0</v>
      </c>
      <c r="H56" s="247">
        <v>0</v>
      </c>
      <c r="I56" s="247">
        <v>0</v>
      </c>
      <c r="J56" s="247">
        <v>0</v>
      </c>
      <c r="K56" s="200"/>
      <c r="L56" s="200" t="s">
        <v>342</v>
      </c>
    </row>
    <row r="57" spans="1:12" hidden="1">
      <c r="B57" s="250" t="s">
        <v>343</v>
      </c>
      <c r="C57" s="200" t="s">
        <v>321</v>
      </c>
      <c r="D57" s="246">
        <v>0</v>
      </c>
      <c r="E57" s="247">
        <v>0</v>
      </c>
      <c r="F57" s="247">
        <v>0</v>
      </c>
      <c r="G57" s="247">
        <v>0</v>
      </c>
      <c r="H57" s="247">
        <v>0</v>
      </c>
      <c r="I57" s="247">
        <v>0</v>
      </c>
      <c r="J57" s="247">
        <v>0</v>
      </c>
      <c r="K57" s="200"/>
      <c r="L57" s="194" t="s">
        <v>344</v>
      </c>
    </row>
    <row r="58" spans="1:12" hidden="1">
      <c r="A58" s="222"/>
      <c r="B58" s="239" t="s">
        <v>345</v>
      </c>
      <c r="C58" s="200" t="s">
        <v>321</v>
      </c>
      <c r="D58" s="251">
        <v>0</v>
      </c>
      <c r="E58" s="252">
        <v>0</v>
      </c>
      <c r="F58" s="252">
        <v>0</v>
      </c>
      <c r="G58" s="252">
        <v>0</v>
      </c>
      <c r="H58" s="252">
        <v>0</v>
      </c>
      <c r="I58" s="252">
        <v>0</v>
      </c>
      <c r="J58" s="252">
        <v>0</v>
      </c>
      <c r="L58" s="194" t="s">
        <v>346</v>
      </c>
    </row>
    <row r="59" spans="1:12" hidden="1">
      <c r="A59" s="222"/>
      <c r="B59" s="253" t="s">
        <v>347</v>
      </c>
      <c r="C59" s="200" t="s">
        <v>321</v>
      </c>
      <c r="D59" s="246">
        <v>0</v>
      </c>
      <c r="E59" s="247">
        <v>0</v>
      </c>
      <c r="F59" s="247">
        <v>0</v>
      </c>
      <c r="G59" s="247">
        <v>0</v>
      </c>
      <c r="H59" s="247">
        <v>0</v>
      </c>
      <c r="I59" s="247">
        <v>0</v>
      </c>
      <c r="J59" s="247">
        <v>0</v>
      </c>
      <c r="K59" s="200"/>
      <c r="L59" s="194" t="s">
        <v>348</v>
      </c>
    </row>
    <row r="60" spans="1:12" hidden="1">
      <c r="A60" s="222"/>
      <c r="B60" s="253" t="s">
        <v>349</v>
      </c>
      <c r="C60" s="200" t="s">
        <v>321</v>
      </c>
      <c r="D60" s="246">
        <v>0</v>
      </c>
      <c r="E60" s="247">
        <v>0</v>
      </c>
      <c r="F60" s="247">
        <v>0</v>
      </c>
      <c r="G60" s="247">
        <v>0</v>
      </c>
      <c r="H60" s="247">
        <v>0</v>
      </c>
      <c r="I60" s="247">
        <v>0</v>
      </c>
      <c r="J60" s="247">
        <v>0</v>
      </c>
      <c r="K60" s="200"/>
      <c r="L60" s="194" t="s">
        <v>348</v>
      </c>
    </row>
    <row r="61" spans="1:12" hidden="1">
      <c r="A61" s="222"/>
      <c r="B61" s="239" t="s">
        <v>350</v>
      </c>
      <c r="C61" s="200" t="s">
        <v>321</v>
      </c>
      <c r="D61" s="246">
        <v>0</v>
      </c>
      <c r="E61" s="247">
        <v>0</v>
      </c>
      <c r="F61" s="247">
        <v>0</v>
      </c>
      <c r="G61" s="247">
        <v>0</v>
      </c>
      <c r="H61" s="247">
        <v>0</v>
      </c>
      <c r="I61" s="247">
        <v>0</v>
      </c>
      <c r="J61" s="247">
        <v>0</v>
      </c>
      <c r="K61" s="200"/>
      <c r="L61" s="200" t="s">
        <v>351</v>
      </c>
    </row>
    <row r="62" spans="1:12" hidden="1">
      <c r="A62" s="222"/>
      <c r="B62" s="239" t="s">
        <v>352</v>
      </c>
      <c r="C62" s="200" t="s">
        <v>321</v>
      </c>
      <c r="D62" s="246">
        <v>0</v>
      </c>
      <c r="E62" s="247">
        <v>0</v>
      </c>
      <c r="F62" s="247">
        <v>0</v>
      </c>
      <c r="G62" s="247">
        <v>0</v>
      </c>
      <c r="H62" s="247">
        <v>0</v>
      </c>
      <c r="I62" s="247">
        <v>0</v>
      </c>
      <c r="J62" s="247">
        <v>0</v>
      </c>
      <c r="K62" s="200"/>
      <c r="L62" s="200" t="s">
        <v>353</v>
      </c>
    </row>
    <row r="63" spans="1:12" hidden="1">
      <c r="A63" s="222"/>
      <c r="B63" s="239" t="s">
        <v>354</v>
      </c>
      <c r="C63" s="200" t="s">
        <v>321</v>
      </c>
      <c r="D63" s="246">
        <v>0</v>
      </c>
      <c r="E63" s="247">
        <v>402000</v>
      </c>
      <c r="F63" s="247">
        <v>0</v>
      </c>
      <c r="G63" s="247">
        <v>0</v>
      </c>
      <c r="H63" s="247">
        <v>0</v>
      </c>
      <c r="I63" s="247">
        <v>0</v>
      </c>
      <c r="J63" s="247">
        <v>0</v>
      </c>
      <c r="K63" s="200"/>
      <c r="L63" s="200" t="s">
        <v>355</v>
      </c>
    </row>
    <row r="64" spans="1:12" hidden="1">
      <c r="A64" s="222"/>
      <c r="B64" s="239" t="s">
        <v>356</v>
      </c>
      <c r="C64" s="200" t="s">
        <v>321</v>
      </c>
      <c r="D64" s="246">
        <v>0</v>
      </c>
      <c r="E64" s="247">
        <v>305000</v>
      </c>
      <c r="F64" s="247">
        <v>0</v>
      </c>
      <c r="G64" s="247">
        <v>0</v>
      </c>
      <c r="H64" s="247">
        <v>0</v>
      </c>
      <c r="I64" s="247">
        <v>0</v>
      </c>
      <c r="J64" s="246">
        <v>0</v>
      </c>
      <c r="K64" s="200"/>
      <c r="L64" s="200" t="s">
        <v>357</v>
      </c>
    </row>
    <row r="65" spans="1:19" ht="15.75" hidden="1">
      <c r="A65" s="222"/>
      <c r="B65" s="240" t="s">
        <v>309</v>
      </c>
      <c r="C65" s="200"/>
      <c r="D65" s="254">
        <f t="shared" ref="D65:J65" si="3">SUM(D49:D64)</f>
        <v>0</v>
      </c>
      <c r="E65" s="254">
        <f t="shared" si="3"/>
        <v>707000</v>
      </c>
      <c r="F65" s="254">
        <f t="shared" si="3"/>
        <v>0</v>
      </c>
      <c r="G65" s="254">
        <f t="shared" si="3"/>
        <v>0</v>
      </c>
      <c r="H65" s="254">
        <f t="shared" si="3"/>
        <v>0</v>
      </c>
      <c r="I65" s="254">
        <f t="shared" si="3"/>
        <v>0</v>
      </c>
      <c r="J65" s="254">
        <f t="shared" si="3"/>
        <v>0</v>
      </c>
      <c r="K65" s="200"/>
      <c r="L65" s="200"/>
    </row>
    <row r="66" spans="1:19" ht="15.75" hidden="1">
      <c r="A66" s="222"/>
      <c r="B66" s="244"/>
      <c r="C66" s="200"/>
      <c r="D66" s="207"/>
      <c r="E66" s="207"/>
      <c r="F66" s="207"/>
      <c r="G66" s="207"/>
      <c r="H66" s="207"/>
      <c r="I66" s="207"/>
      <c r="J66" s="207"/>
      <c r="K66" s="200"/>
      <c r="L66" s="200"/>
    </row>
    <row r="67" spans="1:19" ht="15.75" hidden="1">
      <c r="A67" s="222"/>
      <c r="B67" s="255" t="s">
        <v>358</v>
      </c>
      <c r="C67" s="200"/>
      <c r="D67" s="207"/>
      <c r="E67" s="211"/>
      <c r="F67" s="211"/>
      <c r="G67" s="211"/>
      <c r="H67" s="211"/>
      <c r="I67" s="211"/>
      <c r="J67" s="207"/>
      <c r="K67" s="200"/>
      <c r="L67" s="200"/>
    </row>
    <row r="68" spans="1:19" hidden="1">
      <c r="A68" s="222"/>
      <c r="B68" s="233" t="s">
        <v>359</v>
      </c>
      <c r="C68" s="200" t="s">
        <v>301</v>
      </c>
      <c r="D68" s="207">
        <v>25000</v>
      </c>
      <c r="E68" s="211">
        <v>35000</v>
      </c>
      <c r="F68" s="211">
        <v>35000</v>
      </c>
      <c r="G68" s="211">
        <v>35000</v>
      </c>
      <c r="H68" s="211">
        <v>50000</v>
      </c>
      <c r="I68" s="211">
        <v>50000</v>
      </c>
      <c r="J68" s="207">
        <v>50000</v>
      </c>
      <c r="K68" s="200"/>
      <c r="L68" s="200" t="s">
        <v>360</v>
      </c>
    </row>
    <row r="69" spans="1:19" hidden="1">
      <c r="A69" s="222"/>
      <c r="B69" s="233" t="s">
        <v>361</v>
      </c>
      <c r="C69" s="200" t="s">
        <v>301</v>
      </c>
      <c r="D69" s="207">
        <v>0</v>
      </c>
      <c r="E69" s="211">
        <v>0</v>
      </c>
      <c r="F69" s="211">
        <v>0</v>
      </c>
      <c r="G69" s="211">
        <v>0</v>
      </c>
      <c r="H69" s="211">
        <v>20000</v>
      </c>
      <c r="I69" s="211">
        <v>20000</v>
      </c>
      <c r="J69" s="211">
        <v>20000</v>
      </c>
      <c r="K69" s="200"/>
      <c r="L69" s="200" t="s">
        <v>115</v>
      </c>
    </row>
    <row r="70" spans="1:19" hidden="1">
      <c r="A70" s="222"/>
      <c r="B70" s="233" t="s">
        <v>362</v>
      </c>
      <c r="C70" s="200" t="s">
        <v>301</v>
      </c>
      <c r="D70" s="207">
        <v>0</v>
      </c>
      <c r="E70" s="211">
        <v>107000</v>
      </c>
      <c r="F70" s="211">
        <v>107000</v>
      </c>
      <c r="G70" s="211">
        <v>107000</v>
      </c>
      <c r="H70" s="211">
        <v>200000</v>
      </c>
      <c r="I70" s="211">
        <v>200000</v>
      </c>
      <c r="J70" s="211">
        <v>200000</v>
      </c>
      <c r="K70" s="200"/>
      <c r="L70" s="194" t="s">
        <v>363</v>
      </c>
    </row>
    <row r="71" spans="1:19" hidden="1">
      <c r="A71" s="222"/>
      <c r="B71" s="233"/>
      <c r="C71" s="200"/>
      <c r="D71" s="207"/>
      <c r="E71" s="211"/>
      <c r="F71" s="211"/>
      <c r="G71" s="211"/>
      <c r="H71" s="211"/>
      <c r="I71" s="211"/>
      <c r="J71" s="207"/>
      <c r="K71" s="200"/>
      <c r="L71" s="200"/>
    </row>
    <row r="72" spans="1:19" hidden="1">
      <c r="A72" s="222"/>
      <c r="B72" s="233"/>
      <c r="C72" s="200"/>
      <c r="D72" s="207"/>
      <c r="E72" s="211"/>
      <c r="F72" s="211"/>
      <c r="G72" s="211"/>
      <c r="H72" s="211"/>
      <c r="I72" s="211"/>
      <c r="J72" s="207"/>
      <c r="K72" s="200"/>
      <c r="L72" s="200"/>
    </row>
    <row r="73" spans="1:19" ht="15.75" hidden="1" customHeight="1">
      <c r="A73" s="222"/>
      <c r="B73" s="256" t="s">
        <v>309</v>
      </c>
      <c r="C73" s="200"/>
      <c r="D73" s="232">
        <f>SUM(D68:D72)</f>
        <v>25000</v>
      </c>
      <c r="E73" s="232">
        <f t="shared" ref="E73:J73" si="4">SUM(E68:E72)</f>
        <v>142000</v>
      </c>
      <c r="F73" s="232">
        <f t="shared" si="4"/>
        <v>142000</v>
      </c>
      <c r="G73" s="232">
        <f t="shared" si="4"/>
        <v>142000</v>
      </c>
      <c r="H73" s="232">
        <f t="shared" si="4"/>
        <v>270000</v>
      </c>
      <c r="I73" s="232">
        <f t="shared" si="4"/>
        <v>270000</v>
      </c>
      <c r="J73" s="232">
        <f t="shared" si="4"/>
        <v>270000</v>
      </c>
      <c r="K73" s="200"/>
      <c r="L73" s="200"/>
    </row>
    <row r="74" spans="1:19" ht="17.25" hidden="1" customHeight="1">
      <c r="A74" s="222"/>
      <c r="C74" s="200"/>
      <c r="D74" s="200"/>
      <c r="E74" s="202"/>
      <c r="F74" s="202"/>
      <c r="G74" s="202"/>
      <c r="H74" s="202"/>
      <c r="I74" s="202"/>
      <c r="J74" s="200"/>
      <c r="K74" s="200"/>
      <c r="L74" s="200"/>
      <c r="M74" s="200"/>
      <c r="N74" s="200"/>
      <c r="O74" s="200"/>
      <c r="P74" s="200"/>
      <c r="Q74" s="200"/>
      <c r="R74" s="200"/>
      <c r="S74" s="200"/>
    </row>
    <row r="75" spans="1:19" ht="15" hidden="1" customHeight="1">
      <c r="A75" s="222"/>
      <c r="B75" s="200"/>
      <c r="C75" s="200"/>
      <c r="D75" s="207"/>
      <c r="E75" s="211"/>
      <c r="F75" s="211"/>
      <c r="G75" s="211"/>
      <c r="H75" s="211"/>
      <c r="I75" s="211"/>
      <c r="J75" s="207"/>
      <c r="K75" s="200"/>
      <c r="L75" s="200"/>
    </row>
    <row r="76" spans="1:19" ht="23.25" hidden="1" customHeight="1">
      <c r="A76" s="222"/>
      <c r="B76" s="257" t="s">
        <v>364</v>
      </c>
      <c r="C76" s="200"/>
      <c r="D76" s="207"/>
      <c r="E76" s="211"/>
      <c r="F76" s="211"/>
      <c r="G76" s="211"/>
      <c r="H76" s="211"/>
      <c r="I76" s="211"/>
      <c r="J76" s="207"/>
      <c r="K76" s="200"/>
      <c r="L76" s="200"/>
    </row>
    <row r="77" spans="1:19" hidden="1">
      <c r="A77" s="222"/>
      <c r="B77" s="200"/>
      <c r="C77" s="200"/>
      <c r="D77" s="207"/>
      <c r="E77" s="211"/>
      <c r="F77" s="211"/>
      <c r="G77" s="211"/>
      <c r="H77" s="211"/>
      <c r="I77" s="211"/>
      <c r="J77" s="207"/>
      <c r="K77" s="200"/>
      <c r="L77" s="200"/>
    </row>
    <row r="78" spans="1:19" hidden="1">
      <c r="A78" s="222"/>
      <c r="B78" s="233" t="s">
        <v>365</v>
      </c>
      <c r="C78" s="200" t="s">
        <v>313</v>
      </c>
      <c r="D78" s="207">
        <v>46000</v>
      </c>
      <c r="E78" s="202">
        <v>0</v>
      </c>
      <c r="F78" s="211"/>
      <c r="G78" s="211"/>
      <c r="H78" s="211"/>
      <c r="I78" s="211"/>
      <c r="J78" s="200"/>
      <c r="K78" s="200"/>
      <c r="L78" s="200" t="s">
        <v>366</v>
      </c>
    </row>
    <row r="79" spans="1:19" hidden="1">
      <c r="A79" s="222"/>
      <c r="B79" s="233" t="s">
        <v>44</v>
      </c>
      <c r="C79" s="200" t="s">
        <v>313</v>
      </c>
      <c r="D79" s="200">
        <v>0</v>
      </c>
      <c r="E79" s="211">
        <v>100000</v>
      </c>
      <c r="F79" s="211"/>
      <c r="G79" s="211"/>
      <c r="H79" s="211"/>
      <c r="I79" s="211"/>
      <c r="J79" s="200"/>
      <c r="K79" s="200"/>
      <c r="L79" s="200" t="s">
        <v>366</v>
      </c>
    </row>
    <row r="80" spans="1:19" hidden="1">
      <c r="A80" s="222"/>
      <c r="B80" s="233" t="s">
        <v>367</v>
      </c>
      <c r="C80" s="200" t="s">
        <v>313</v>
      </c>
      <c r="D80" s="207">
        <v>0</v>
      </c>
      <c r="E80" s="211">
        <v>107000</v>
      </c>
      <c r="F80" s="211">
        <v>112500</v>
      </c>
      <c r="G80" s="211">
        <v>0</v>
      </c>
      <c r="H80" s="211">
        <v>0</v>
      </c>
      <c r="I80" s="211">
        <v>0</v>
      </c>
      <c r="J80" s="207">
        <v>0</v>
      </c>
      <c r="K80" s="200"/>
      <c r="L80" s="200" t="s">
        <v>368</v>
      </c>
    </row>
    <row r="81" spans="1:12" hidden="1">
      <c r="A81" s="222"/>
      <c r="B81" s="233" t="s">
        <v>369</v>
      </c>
      <c r="C81" s="200" t="s">
        <v>313</v>
      </c>
      <c r="D81" s="207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200000</v>
      </c>
      <c r="J81" s="207">
        <v>200000</v>
      </c>
      <c r="K81" s="200"/>
      <c r="L81" s="200" t="s">
        <v>370</v>
      </c>
    </row>
    <row r="82" spans="1:12" ht="15.75" hidden="1">
      <c r="A82" s="222"/>
      <c r="B82" s="258" t="s">
        <v>371</v>
      </c>
      <c r="C82" s="259"/>
      <c r="D82" s="232">
        <f>SUM(D78:D81)</f>
        <v>46000</v>
      </c>
      <c r="E82" s="232">
        <f t="shared" ref="E82:J82" si="5">SUM(E78:E81)</f>
        <v>207000</v>
      </c>
      <c r="F82" s="232">
        <f t="shared" si="5"/>
        <v>112500</v>
      </c>
      <c r="G82" s="232">
        <f t="shared" si="5"/>
        <v>0</v>
      </c>
      <c r="H82" s="232">
        <f t="shared" si="5"/>
        <v>0</v>
      </c>
      <c r="I82" s="232">
        <f t="shared" si="5"/>
        <v>200000</v>
      </c>
      <c r="J82" s="232">
        <f t="shared" si="5"/>
        <v>200000</v>
      </c>
      <c r="K82" s="200"/>
      <c r="L82" s="200"/>
    </row>
    <row r="83" spans="1:12" hidden="1">
      <c r="A83" s="222"/>
      <c r="B83" s="200"/>
      <c r="C83" s="259"/>
      <c r="D83" s="200"/>
      <c r="E83" s="202"/>
      <c r="F83" s="202"/>
      <c r="G83" s="202"/>
      <c r="H83" s="202"/>
      <c r="I83" s="202"/>
      <c r="J83" s="200"/>
      <c r="K83" s="200"/>
      <c r="L83" s="200"/>
    </row>
    <row r="84" spans="1:12" ht="15.75" hidden="1">
      <c r="A84" s="222"/>
      <c r="B84" s="228"/>
      <c r="C84" s="259"/>
      <c r="D84" s="200"/>
      <c r="E84" s="202"/>
      <c r="F84" s="202"/>
      <c r="G84" s="202"/>
      <c r="H84" s="202"/>
      <c r="I84" s="202"/>
      <c r="J84" s="200"/>
      <c r="K84" s="200"/>
    </row>
    <row r="85" spans="1:12" ht="15.75" hidden="1">
      <c r="A85" s="222"/>
      <c r="B85" s="260" t="s">
        <v>372</v>
      </c>
      <c r="C85" s="259"/>
      <c r="D85" s="207">
        <f>D39+D40</f>
        <v>153000</v>
      </c>
      <c r="E85" s="207">
        <f t="shared" ref="E85:J85" si="6">E39+E40</f>
        <v>707000</v>
      </c>
      <c r="F85" s="207">
        <f t="shared" si="6"/>
        <v>1921000</v>
      </c>
      <c r="G85" s="207">
        <f t="shared" si="6"/>
        <v>2440000</v>
      </c>
      <c r="H85" s="207">
        <f t="shared" si="6"/>
        <v>3040000</v>
      </c>
      <c r="I85" s="207">
        <f t="shared" si="6"/>
        <v>3040000</v>
      </c>
      <c r="J85" s="207">
        <f t="shared" si="6"/>
        <v>3040000</v>
      </c>
      <c r="K85" s="200"/>
    </row>
    <row r="86" spans="1:12" ht="15.75" hidden="1">
      <c r="A86" s="222"/>
      <c r="B86" s="261" t="s">
        <v>373</v>
      </c>
      <c r="C86" s="259"/>
      <c r="D86" s="207">
        <f t="shared" ref="D86:J86" si="7">D29+D31+D32+D33+D73</f>
        <v>260000</v>
      </c>
      <c r="E86" s="207">
        <f t="shared" si="7"/>
        <v>600000</v>
      </c>
      <c r="F86" s="207">
        <f t="shared" si="7"/>
        <v>538500</v>
      </c>
      <c r="G86" s="207">
        <f t="shared" si="7"/>
        <v>566000</v>
      </c>
      <c r="H86" s="207">
        <f t="shared" si="7"/>
        <v>935000</v>
      </c>
      <c r="I86" s="207">
        <f t="shared" si="7"/>
        <v>936000</v>
      </c>
      <c r="J86" s="207">
        <f t="shared" si="7"/>
        <v>936000</v>
      </c>
      <c r="K86" s="200"/>
    </row>
    <row r="87" spans="1:12" ht="15.75" hidden="1">
      <c r="A87" s="222"/>
      <c r="B87" s="261" t="s">
        <v>374</v>
      </c>
      <c r="C87" s="259"/>
      <c r="D87" s="207">
        <f t="shared" ref="D87:J87" si="8">D34+D35+D36+D37+D82</f>
        <v>753000</v>
      </c>
      <c r="E87" s="207">
        <f t="shared" si="8"/>
        <v>1237600</v>
      </c>
      <c r="F87" s="207">
        <f t="shared" si="8"/>
        <v>1397600</v>
      </c>
      <c r="G87" s="207">
        <f t="shared" si="8"/>
        <v>1285100</v>
      </c>
      <c r="H87" s="207">
        <f t="shared" si="8"/>
        <v>1285100</v>
      </c>
      <c r="I87" s="207">
        <f t="shared" si="8"/>
        <v>1485100</v>
      </c>
      <c r="J87" s="207">
        <f t="shared" si="8"/>
        <v>1485100</v>
      </c>
      <c r="K87" s="200"/>
    </row>
    <row r="88" spans="1:12" ht="16.5" hidden="1" thickBot="1">
      <c r="A88" s="222"/>
      <c r="B88" s="258" t="s">
        <v>375</v>
      </c>
      <c r="C88" s="259"/>
      <c r="D88" s="243">
        <f>SUM(D85:D87)</f>
        <v>1166000</v>
      </c>
      <c r="E88" s="243">
        <f t="shared" ref="E88:J88" si="9">SUM(E85:E87)</f>
        <v>2544600</v>
      </c>
      <c r="F88" s="243">
        <f t="shared" si="9"/>
        <v>3857100</v>
      </c>
      <c r="G88" s="243">
        <f t="shared" si="9"/>
        <v>4291100</v>
      </c>
      <c r="H88" s="243">
        <f t="shared" si="9"/>
        <v>5260100</v>
      </c>
      <c r="I88" s="243">
        <f t="shared" si="9"/>
        <v>5461100</v>
      </c>
      <c r="J88" s="243">
        <f t="shared" si="9"/>
        <v>5461100</v>
      </c>
      <c r="K88" s="200"/>
    </row>
    <row r="89" spans="1:12" hidden="1">
      <c r="A89" s="222"/>
    </row>
    <row r="90" spans="1:12" hidden="1">
      <c r="A90" s="222"/>
    </row>
    <row r="91" spans="1:12" ht="15.75" hidden="1" thickBot="1">
      <c r="A91" s="222"/>
      <c r="B91" s="263"/>
      <c r="C91" s="216"/>
      <c r="D91" s="217"/>
      <c r="E91" s="218"/>
      <c r="F91" s="218"/>
      <c r="G91" s="218"/>
      <c r="H91" s="218"/>
      <c r="I91" s="218"/>
      <c r="J91" s="217"/>
      <c r="K91" s="217"/>
      <c r="L91" s="217"/>
    </row>
    <row r="92" spans="1:12" hidden="1"/>
    <row r="93" spans="1:12" hidden="1"/>
    <row r="94" spans="1:12" ht="15.75" hidden="1">
      <c r="B94" s="264" t="s">
        <v>376</v>
      </c>
    </row>
  </sheetData>
  <mergeCells count="2">
    <mergeCell ref="B7:E7"/>
    <mergeCell ref="B17:C17"/>
  </mergeCells>
  <pageMargins left="0.35433070866141736" right="0.15748031496062992" top="0.74803149606299213" bottom="1.1417322834645669" header="0.31496062992125984" footer="0.31496062992125984"/>
  <pageSetup paperSize="9" scale="55" fitToHeight="2" orientation="landscape" r:id="rId1"/>
  <headerFooter>
    <oddHeader>&amp;R&amp;"Arial,Bold"&amp;12APPENDIX C [1]</oddHeader>
    <oddFooter xml:space="preserve">&amp;C&amp;"Arial,Bold"&amp;12&amp;A&amp;R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4"/>
  <sheetViews>
    <sheetView topLeftCell="A48" workbookViewId="0">
      <selection activeCell="A2" sqref="A2:XFD47"/>
    </sheetView>
  </sheetViews>
  <sheetFormatPr defaultRowHeight="15"/>
  <cols>
    <col min="1" max="1" width="2" style="194" customWidth="1"/>
    <col min="2" max="2" width="68.7109375" style="194" bestFit="1" customWidth="1"/>
    <col min="3" max="3" width="16" style="262" bestFit="1" customWidth="1"/>
    <col min="4" max="4" width="11.42578125" style="194" bestFit="1" customWidth="1"/>
    <col min="5" max="5" width="11.42578125" style="195" bestFit="1" customWidth="1"/>
    <col min="6" max="6" width="11.5703125" style="195" customWidth="1"/>
    <col min="7" max="9" width="11.42578125" style="195" bestFit="1" customWidth="1"/>
    <col min="10" max="10" width="12.28515625" style="194" customWidth="1"/>
    <col min="11" max="11" width="1.42578125" style="194" customWidth="1"/>
    <col min="12" max="12" width="74.140625" style="194" customWidth="1"/>
    <col min="13" max="256" width="8.85546875" style="194"/>
    <col min="257" max="257" width="2" style="194" customWidth="1"/>
    <col min="258" max="258" width="68.7109375" style="194" bestFit="1" customWidth="1"/>
    <col min="259" max="259" width="16" style="194" bestFit="1" customWidth="1"/>
    <col min="260" max="261" width="11.42578125" style="194" bestFit="1" customWidth="1"/>
    <col min="262" max="262" width="11.5703125" style="194" customWidth="1"/>
    <col min="263" max="265" width="11.42578125" style="194" bestFit="1" customWidth="1"/>
    <col min="266" max="266" width="12.28515625" style="194" customWidth="1"/>
    <col min="267" max="267" width="1.42578125" style="194" customWidth="1"/>
    <col min="268" max="268" width="74.140625" style="194" customWidth="1"/>
    <col min="269" max="512" width="8.85546875" style="194"/>
    <col min="513" max="513" width="2" style="194" customWidth="1"/>
    <col min="514" max="514" width="68.7109375" style="194" bestFit="1" customWidth="1"/>
    <col min="515" max="515" width="16" style="194" bestFit="1" customWidth="1"/>
    <col min="516" max="517" width="11.42578125" style="194" bestFit="1" customWidth="1"/>
    <col min="518" max="518" width="11.5703125" style="194" customWidth="1"/>
    <col min="519" max="521" width="11.42578125" style="194" bestFit="1" customWidth="1"/>
    <col min="522" max="522" width="12.28515625" style="194" customWidth="1"/>
    <col min="523" max="523" width="1.42578125" style="194" customWidth="1"/>
    <col min="524" max="524" width="74.140625" style="194" customWidth="1"/>
    <col min="525" max="768" width="8.85546875" style="194"/>
    <col min="769" max="769" width="2" style="194" customWidth="1"/>
    <col min="770" max="770" width="68.7109375" style="194" bestFit="1" customWidth="1"/>
    <col min="771" max="771" width="16" style="194" bestFit="1" customWidth="1"/>
    <col min="772" max="773" width="11.42578125" style="194" bestFit="1" customWidth="1"/>
    <col min="774" max="774" width="11.5703125" style="194" customWidth="1"/>
    <col min="775" max="777" width="11.42578125" style="194" bestFit="1" customWidth="1"/>
    <col min="778" max="778" width="12.28515625" style="194" customWidth="1"/>
    <col min="779" max="779" width="1.42578125" style="194" customWidth="1"/>
    <col min="780" max="780" width="74.140625" style="194" customWidth="1"/>
    <col min="781" max="1024" width="8.85546875" style="194"/>
    <col min="1025" max="1025" width="2" style="194" customWidth="1"/>
    <col min="1026" max="1026" width="68.7109375" style="194" bestFit="1" customWidth="1"/>
    <col min="1027" max="1027" width="16" style="194" bestFit="1" customWidth="1"/>
    <col min="1028" max="1029" width="11.42578125" style="194" bestFit="1" customWidth="1"/>
    <col min="1030" max="1030" width="11.5703125" style="194" customWidth="1"/>
    <col min="1031" max="1033" width="11.42578125" style="194" bestFit="1" customWidth="1"/>
    <col min="1034" max="1034" width="12.28515625" style="194" customWidth="1"/>
    <col min="1035" max="1035" width="1.42578125" style="194" customWidth="1"/>
    <col min="1036" max="1036" width="74.140625" style="194" customWidth="1"/>
    <col min="1037" max="1280" width="8.85546875" style="194"/>
    <col min="1281" max="1281" width="2" style="194" customWidth="1"/>
    <col min="1282" max="1282" width="68.7109375" style="194" bestFit="1" customWidth="1"/>
    <col min="1283" max="1283" width="16" style="194" bestFit="1" customWidth="1"/>
    <col min="1284" max="1285" width="11.42578125" style="194" bestFit="1" customWidth="1"/>
    <col min="1286" max="1286" width="11.5703125" style="194" customWidth="1"/>
    <col min="1287" max="1289" width="11.42578125" style="194" bestFit="1" customWidth="1"/>
    <col min="1290" max="1290" width="12.28515625" style="194" customWidth="1"/>
    <col min="1291" max="1291" width="1.42578125" style="194" customWidth="1"/>
    <col min="1292" max="1292" width="74.140625" style="194" customWidth="1"/>
    <col min="1293" max="1536" width="8.85546875" style="194"/>
    <col min="1537" max="1537" width="2" style="194" customWidth="1"/>
    <col min="1538" max="1538" width="68.7109375" style="194" bestFit="1" customWidth="1"/>
    <col min="1539" max="1539" width="16" style="194" bestFit="1" customWidth="1"/>
    <col min="1540" max="1541" width="11.42578125" style="194" bestFit="1" customWidth="1"/>
    <col min="1542" max="1542" width="11.5703125" style="194" customWidth="1"/>
    <col min="1543" max="1545" width="11.42578125" style="194" bestFit="1" customWidth="1"/>
    <col min="1546" max="1546" width="12.28515625" style="194" customWidth="1"/>
    <col min="1547" max="1547" width="1.42578125" style="194" customWidth="1"/>
    <col min="1548" max="1548" width="74.140625" style="194" customWidth="1"/>
    <col min="1549" max="1792" width="8.85546875" style="194"/>
    <col min="1793" max="1793" width="2" style="194" customWidth="1"/>
    <col min="1794" max="1794" width="68.7109375" style="194" bestFit="1" customWidth="1"/>
    <col min="1795" max="1795" width="16" style="194" bestFit="1" customWidth="1"/>
    <col min="1796" max="1797" width="11.42578125" style="194" bestFit="1" customWidth="1"/>
    <col min="1798" max="1798" width="11.5703125" style="194" customWidth="1"/>
    <col min="1799" max="1801" width="11.42578125" style="194" bestFit="1" customWidth="1"/>
    <col min="1802" max="1802" width="12.28515625" style="194" customWidth="1"/>
    <col min="1803" max="1803" width="1.42578125" style="194" customWidth="1"/>
    <col min="1804" max="1804" width="74.140625" style="194" customWidth="1"/>
    <col min="1805" max="2048" width="8.85546875" style="194"/>
    <col min="2049" max="2049" width="2" style="194" customWidth="1"/>
    <col min="2050" max="2050" width="68.7109375" style="194" bestFit="1" customWidth="1"/>
    <col min="2051" max="2051" width="16" style="194" bestFit="1" customWidth="1"/>
    <col min="2052" max="2053" width="11.42578125" style="194" bestFit="1" customWidth="1"/>
    <col min="2054" max="2054" width="11.5703125" style="194" customWidth="1"/>
    <col min="2055" max="2057" width="11.42578125" style="194" bestFit="1" customWidth="1"/>
    <col min="2058" max="2058" width="12.28515625" style="194" customWidth="1"/>
    <col min="2059" max="2059" width="1.42578125" style="194" customWidth="1"/>
    <col min="2060" max="2060" width="74.140625" style="194" customWidth="1"/>
    <col min="2061" max="2304" width="8.85546875" style="194"/>
    <col min="2305" max="2305" width="2" style="194" customWidth="1"/>
    <col min="2306" max="2306" width="68.7109375" style="194" bestFit="1" customWidth="1"/>
    <col min="2307" max="2307" width="16" style="194" bestFit="1" customWidth="1"/>
    <col min="2308" max="2309" width="11.42578125" style="194" bestFit="1" customWidth="1"/>
    <col min="2310" max="2310" width="11.5703125" style="194" customWidth="1"/>
    <col min="2311" max="2313" width="11.42578125" style="194" bestFit="1" customWidth="1"/>
    <col min="2314" max="2314" width="12.28515625" style="194" customWidth="1"/>
    <col min="2315" max="2315" width="1.42578125" style="194" customWidth="1"/>
    <col min="2316" max="2316" width="74.140625" style="194" customWidth="1"/>
    <col min="2317" max="2560" width="8.85546875" style="194"/>
    <col min="2561" max="2561" width="2" style="194" customWidth="1"/>
    <col min="2562" max="2562" width="68.7109375" style="194" bestFit="1" customWidth="1"/>
    <col min="2563" max="2563" width="16" style="194" bestFit="1" customWidth="1"/>
    <col min="2564" max="2565" width="11.42578125" style="194" bestFit="1" customWidth="1"/>
    <col min="2566" max="2566" width="11.5703125" style="194" customWidth="1"/>
    <col min="2567" max="2569" width="11.42578125" style="194" bestFit="1" customWidth="1"/>
    <col min="2570" max="2570" width="12.28515625" style="194" customWidth="1"/>
    <col min="2571" max="2571" width="1.42578125" style="194" customWidth="1"/>
    <col min="2572" max="2572" width="74.140625" style="194" customWidth="1"/>
    <col min="2573" max="2816" width="8.85546875" style="194"/>
    <col min="2817" max="2817" width="2" style="194" customWidth="1"/>
    <col min="2818" max="2818" width="68.7109375" style="194" bestFit="1" customWidth="1"/>
    <col min="2819" max="2819" width="16" style="194" bestFit="1" customWidth="1"/>
    <col min="2820" max="2821" width="11.42578125" style="194" bestFit="1" customWidth="1"/>
    <col min="2822" max="2822" width="11.5703125" style="194" customWidth="1"/>
    <col min="2823" max="2825" width="11.42578125" style="194" bestFit="1" customWidth="1"/>
    <col min="2826" max="2826" width="12.28515625" style="194" customWidth="1"/>
    <col min="2827" max="2827" width="1.42578125" style="194" customWidth="1"/>
    <col min="2828" max="2828" width="74.140625" style="194" customWidth="1"/>
    <col min="2829" max="3072" width="8.85546875" style="194"/>
    <col min="3073" max="3073" width="2" style="194" customWidth="1"/>
    <col min="3074" max="3074" width="68.7109375" style="194" bestFit="1" customWidth="1"/>
    <col min="3075" max="3075" width="16" style="194" bestFit="1" customWidth="1"/>
    <col min="3076" max="3077" width="11.42578125" style="194" bestFit="1" customWidth="1"/>
    <col min="3078" max="3078" width="11.5703125" style="194" customWidth="1"/>
    <col min="3079" max="3081" width="11.42578125" style="194" bestFit="1" customWidth="1"/>
    <col min="3082" max="3082" width="12.28515625" style="194" customWidth="1"/>
    <col min="3083" max="3083" width="1.42578125" style="194" customWidth="1"/>
    <col min="3084" max="3084" width="74.140625" style="194" customWidth="1"/>
    <col min="3085" max="3328" width="8.85546875" style="194"/>
    <col min="3329" max="3329" width="2" style="194" customWidth="1"/>
    <col min="3330" max="3330" width="68.7109375" style="194" bestFit="1" customWidth="1"/>
    <col min="3331" max="3331" width="16" style="194" bestFit="1" customWidth="1"/>
    <col min="3332" max="3333" width="11.42578125" style="194" bestFit="1" customWidth="1"/>
    <col min="3334" max="3334" width="11.5703125" style="194" customWidth="1"/>
    <col min="3335" max="3337" width="11.42578125" style="194" bestFit="1" customWidth="1"/>
    <col min="3338" max="3338" width="12.28515625" style="194" customWidth="1"/>
    <col min="3339" max="3339" width="1.42578125" style="194" customWidth="1"/>
    <col min="3340" max="3340" width="74.140625" style="194" customWidth="1"/>
    <col min="3341" max="3584" width="8.85546875" style="194"/>
    <col min="3585" max="3585" width="2" style="194" customWidth="1"/>
    <col min="3586" max="3586" width="68.7109375" style="194" bestFit="1" customWidth="1"/>
    <col min="3587" max="3587" width="16" style="194" bestFit="1" customWidth="1"/>
    <col min="3588" max="3589" width="11.42578125" style="194" bestFit="1" customWidth="1"/>
    <col min="3590" max="3590" width="11.5703125" style="194" customWidth="1"/>
    <col min="3591" max="3593" width="11.42578125" style="194" bestFit="1" customWidth="1"/>
    <col min="3594" max="3594" width="12.28515625" style="194" customWidth="1"/>
    <col min="3595" max="3595" width="1.42578125" style="194" customWidth="1"/>
    <col min="3596" max="3596" width="74.140625" style="194" customWidth="1"/>
    <col min="3597" max="3840" width="8.85546875" style="194"/>
    <col min="3841" max="3841" width="2" style="194" customWidth="1"/>
    <col min="3842" max="3842" width="68.7109375" style="194" bestFit="1" customWidth="1"/>
    <col min="3843" max="3843" width="16" style="194" bestFit="1" customWidth="1"/>
    <col min="3844" max="3845" width="11.42578125" style="194" bestFit="1" customWidth="1"/>
    <col min="3846" max="3846" width="11.5703125" style="194" customWidth="1"/>
    <col min="3847" max="3849" width="11.42578125" style="194" bestFit="1" customWidth="1"/>
    <col min="3850" max="3850" width="12.28515625" style="194" customWidth="1"/>
    <col min="3851" max="3851" width="1.42578125" style="194" customWidth="1"/>
    <col min="3852" max="3852" width="74.140625" style="194" customWidth="1"/>
    <col min="3853" max="4096" width="8.85546875" style="194"/>
    <col min="4097" max="4097" width="2" style="194" customWidth="1"/>
    <col min="4098" max="4098" width="68.7109375" style="194" bestFit="1" customWidth="1"/>
    <col min="4099" max="4099" width="16" style="194" bestFit="1" customWidth="1"/>
    <col min="4100" max="4101" width="11.42578125" style="194" bestFit="1" customWidth="1"/>
    <col min="4102" max="4102" width="11.5703125" style="194" customWidth="1"/>
    <col min="4103" max="4105" width="11.42578125" style="194" bestFit="1" customWidth="1"/>
    <col min="4106" max="4106" width="12.28515625" style="194" customWidth="1"/>
    <col min="4107" max="4107" width="1.42578125" style="194" customWidth="1"/>
    <col min="4108" max="4108" width="74.140625" style="194" customWidth="1"/>
    <col min="4109" max="4352" width="8.85546875" style="194"/>
    <col min="4353" max="4353" width="2" style="194" customWidth="1"/>
    <col min="4354" max="4354" width="68.7109375" style="194" bestFit="1" customWidth="1"/>
    <col min="4355" max="4355" width="16" style="194" bestFit="1" customWidth="1"/>
    <col min="4356" max="4357" width="11.42578125" style="194" bestFit="1" customWidth="1"/>
    <col min="4358" max="4358" width="11.5703125" style="194" customWidth="1"/>
    <col min="4359" max="4361" width="11.42578125" style="194" bestFit="1" customWidth="1"/>
    <col min="4362" max="4362" width="12.28515625" style="194" customWidth="1"/>
    <col min="4363" max="4363" width="1.42578125" style="194" customWidth="1"/>
    <col min="4364" max="4364" width="74.140625" style="194" customWidth="1"/>
    <col min="4365" max="4608" width="8.85546875" style="194"/>
    <col min="4609" max="4609" width="2" style="194" customWidth="1"/>
    <col min="4610" max="4610" width="68.7109375" style="194" bestFit="1" customWidth="1"/>
    <col min="4611" max="4611" width="16" style="194" bestFit="1" customWidth="1"/>
    <col min="4612" max="4613" width="11.42578125" style="194" bestFit="1" customWidth="1"/>
    <col min="4614" max="4614" width="11.5703125" style="194" customWidth="1"/>
    <col min="4615" max="4617" width="11.42578125" style="194" bestFit="1" customWidth="1"/>
    <col min="4618" max="4618" width="12.28515625" style="194" customWidth="1"/>
    <col min="4619" max="4619" width="1.42578125" style="194" customWidth="1"/>
    <col min="4620" max="4620" width="74.140625" style="194" customWidth="1"/>
    <col min="4621" max="4864" width="8.85546875" style="194"/>
    <col min="4865" max="4865" width="2" style="194" customWidth="1"/>
    <col min="4866" max="4866" width="68.7109375" style="194" bestFit="1" customWidth="1"/>
    <col min="4867" max="4867" width="16" style="194" bestFit="1" customWidth="1"/>
    <col min="4868" max="4869" width="11.42578125" style="194" bestFit="1" customWidth="1"/>
    <col min="4870" max="4870" width="11.5703125" style="194" customWidth="1"/>
    <col min="4871" max="4873" width="11.42578125" style="194" bestFit="1" customWidth="1"/>
    <col min="4874" max="4874" width="12.28515625" style="194" customWidth="1"/>
    <col min="4875" max="4875" width="1.42578125" style="194" customWidth="1"/>
    <col min="4876" max="4876" width="74.140625" style="194" customWidth="1"/>
    <col min="4877" max="5120" width="8.85546875" style="194"/>
    <col min="5121" max="5121" width="2" style="194" customWidth="1"/>
    <col min="5122" max="5122" width="68.7109375" style="194" bestFit="1" customWidth="1"/>
    <col min="5123" max="5123" width="16" style="194" bestFit="1" customWidth="1"/>
    <col min="5124" max="5125" width="11.42578125" style="194" bestFit="1" customWidth="1"/>
    <col min="5126" max="5126" width="11.5703125" style="194" customWidth="1"/>
    <col min="5127" max="5129" width="11.42578125" style="194" bestFit="1" customWidth="1"/>
    <col min="5130" max="5130" width="12.28515625" style="194" customWidth="1"/>
    <col min="5131" max="5131" width="1.42578125" style="194" customWidth="1"/>
    <col min="5132" max="5132" width="74.140625" style="194" customWidth="1"/>
    <col min="5133" max="5376" width="8.85546875" style="194"/>
    <col min="5377" max="5377" width="2" style="194" customWidth="1"/>
    <col min="5378" max="5378" width="68.7109375" style="194" bestFit="1" customWidth="1"/>
    <col min="5379" max="5379" width="16" style="194" bestFit="1" customWidth="1"/>
    <col min="5380" max="5381" width="11.42578125" style="194" bestFit="1" customWidth="1"/>
    <col min="5382" max="5382" width="11.5703125" style="194" customWidth="1"/>
    <col min="5383" max="5385" width="11.42578125" style="194" bestFit="1" customWidth="1"/>
    <col min="5386" max="5386" width="12.28515625" style="194" customWidth="1"/>
    <col min="5387" max="5387" width="1.42578125" style="194" customWidth="1"/>
    <col min="5388" max="5388" width="74.140625" style="194" customWidth="1"/>
    <col min="5389" max="5632" width="8.85546875" style="194"/>
    <col min="5633" max="5633" width="2" style="194" customWidth="1"/>
    <col min="5634" max="5634" width="68.7109375" style="194" bestFit="1" customWidth="1"/>
    <col min="5635" max="5635" width="16" style="194" bestFit="1" customWidth="1"/>
    <col min="5636" max="5637" width="11.42578125" style="194" bestFit="1" customWidth="1"/>
    <col min="5638" max="5638" width="11.5703125" style="194" customWidth="1"/>
    <col min="5639" max="5641" width="11.42578125" style="194" bestFit="1" customWidth="1"/>
    <col min="5642" max="5642" width="12.28515625" style="194" customWidth="1"/>
    <col min="5643" max="5643" width="1.42578125" style="194" customWidth="1"/>
    <col min="5644" max="5644" width="74.140625" style="194" customWidth="1"/>
    <col min="5645" max="5888" width="8.85546875" style="194"/>
    <col min="5889" max="5889" width="2" style="194" customWidth="1"/>
    <col min="5890" max="5890" width="68.7109375" style="194" bestFit="1" customWidth="1"/>
    <col min="5891" max="5891" width="16" style="194" bestFit="1" customWidth="1"/>
    <col min="5892" max="5893" width="11.42578125" style="194" bestFit="1" customWidth="1"/>
    <col min="5894" max="5894" width="11.5703125" style="194" customWidth="1"/>
    <col min="5895" max="5897" width="11.42578125" style="194" bestFit="1" customWidth="1"/>
    <col min="5898" max="5898" width="12.28515625" style="194" customWidth="1"/>
    <col min="5899" max="5899" width="1.42578125" style="194" customWidth="1"/>
    <col min="5900" max="5900" width="74.140625" style="194" customWidth="1"/>
    <col min="5901" max="6144" width="8.85546875" style="194"/>
    <col min="6145" max="6145" width="2" style="194" customWidth="1"/>
    <col min="6146" max="6146" width="68.7109375" style="194" bestFit="1" customWidth="1"/>
    <col min="6147" max="6147" width="16" style="194" bestFit="1" customWidth="1"/>
    <col min="6148" max="6149" width="11.42578125" style="194" bestFit="1" customWidth="1"/>
    <col min="6150" max="6150" width="11.5703125" style="194" customWidth="1"/>
    <col min="6151" max="6153" width="11.42578125" style="194" bestFit="1" customWidth="1"/>
    <col min="6154" max="6154" width="12.28515625" style="194" customWidth="1"/>
    <col min="6155" max="6155" width="1.42578125" style="194" customWidth="1"/>
    <col min="6156" max="6156" width="74.140625" style="194" customWidth="1"/>
    <col min="6157" max="6400" width="8.85546875" style="194"/>
    <col min="6401" max="6401" width="2" style="194" customWidth="1"/>
    <col min="6402" max="6402" width="68.7109375" style="194" bestFit="1" customWidth="1"/>
    <col min="6403" max="6403" width="16" style="194" bestFit="1" customWidth="1"/>
    <col min="6404" max="6405" width="11.42578125" style="194" bestFit="1" customWidth="1"/>
    <col min="6406" max="6406" width="11.5703125" style="194" customWidth="1"/>
    <col min="6407" max="6409" width="11.42578125" style="194" bestFit="1" customWidth="1"/>
    <col min="6410" max="6410" width="12.28515625" style="194" customWidth="1"/>
    <col min="6411" max="6411" width="1.42578125" style="194" customWidth="1"/>
    <col min="6412" max="6412" width="74.140625" style="194" customWidth="1"/>
    <col min="6413" max="6656" width="8.85546875" style="194"/>
    <col min="6657" max="6657" width="2" style="194" customWidth="1"/>
    <col min="6658" max="6658" width="68.7109375" style="194" bestFit="1" customWidth="1"/>
    <col min="6659" max="6659" width="16" style="194" bestFit="1" customWidth="1"/>
    <col min="6660" max="6661" width="11.42578125" style="194" bestFit="1" customWidth="1"/>
    <col min="6662" max="6662" width="11.5703125" style="194" customWidth="1"/>
    <col min="6663" max="6665" width="11.42578125" style="194" bestFit="1" customWidth="1"/>
    <col min="6666" max="6666" width="12.28515625" style="194" customWidth="1"/>
    <col min="6667" max="6667" width="1.42578125" style="194" customWidth="1"/>
    <col min="6668" max="6668" width="74.140625" style="194" customWidth="1"/>
    <col min="6669" max="6912" width="8.85546875" style="194"/>
    <col min="6913" max="6913" width="2" style="194" customWidth="1"/>
    <col min="6914" max="6914" width="68.7109375" style="194" bestFit="1" customWidth="1"/>
    <col min="6915" max="6915" width="16" style="194" bestFit="1" customWidth="1"/>
    <col min="6916" max="6917" width="11.42578125" style="194" bestFit="1" customWidth="1"/>
    <col min="6918" max="6918" width="11.5703125" style="194" customWidth="1"/>
    <col min="6919" max="6921" width="11.42578125" style="194" bestFit="1" customWidth="1"/>
    <col min="6922" max="6922" width="12.28515625" style="194" customWidth="1"/>
    <col min="6923" max="6923" width="1.42578125" style="194" customWidth="1"/>
    <col min="6924" max="6924" width="74.140625" style="194" customWidth="1"/>
    <col min="6925" max="7168" width="8.85546875" style="194"/>
    <col min="7169" max="7169" width="2" style="194" customWidth="1"/>
    <col min="7170" max="7170" width="68.7109375" style="194" bestFit="1" customWidth="1"/>
    <col min="7171" max="7171" width="16" style="194" bestFit="1" customWidth="1"/>
    <col min="7172" max="7173" width="11.42578125" style="194" bestFit="1" customWidth="1"/>
    <col min="7174" max="7174" width="11.5703125" style="194" customWidth="1"/>
    <col min="7175" max="7177" width="11.42578125" style="194" bestFit="1" customWidth="1"/>
    <col min="7178" max="7178" width="12.28515625" style="194" customWidth="1"/>
    <col min="7179" max="7179" width="1.42578125" style="194" customWidth="1"/>
    <col min="7180" max="7180" width="74.140625" style="194" customWidth="1"/>
    <col min="7181" max="7424" width="8.85546875" style="194"/>
    <col min="7425" max="7425" width="2" style="194" customWidth="1"/>
    <col min="7426" max="7426" width="68.7109375" style="194" bestFit="1" customWidth="1"/>
    <col min="7427" max="7427" width="16" style="194" bestFit="1" customWidth="1"/>
    <col min="7428" max="7429" width="11.42578125" style="194" bestFit="1" customWidth="1"/>
    <col min="7430" max="7430" width="11.5703125" style="194" customWidth="1"/>
    <col min="7431" max="7433" width="11.42578125" style="194" bestFit="1" customWidth="1"/>
    <col min="7434" max="7434" width="12.28515625" style="194" customWidth="1"/>
    <col min="7435" max="7435" width="1.42578125" style="194" customWidth="1"/>
    <col min="7436" max="7436" width="74.140625" style="194" customWidth="1"/>
    <col min="7437" max="7680" width="8.85546875" style="194"/>
    <col min="7681" max="7681" width="2" style="194" customWidth="1"/>
    <col min="7682" max="7682" width="68.7109375" style="194" bestFit="1" customWidth="1"/>
    <col min="7683" max="7683" width="16" style="194" bestFit="1" customWidth="1"/>
    <col min="7684" max="7685" width="11.42578125" style="194" bestFit="1" customWidth="1"/>
    <col min="7686" max="7686" width="11.5703125" style="194" customWidth="1"/>
    <col min="7687" max="7689" width="11.42578125" style="194" bestFit="1" customWidth="1"/>
    <col min="7690" max="7690" width="12.28515625" style="194" customWidth="1"/>
    <col min="7691" max="7691" width="1.42578125" style="194" customWidth="1"/>
    <col min="7692" max="7692" width="74.140625" style="194" customWidth="1"/>
    <col min="7693" max="7936" width="8.85546875" style="194"/>
    <col min="7937" max="7937" width="2" style="194" customWidth="1"/>
    <col min="7938" max="7938" width="68.7109375" style="194" bestFit="1" customWidth="1"/>
    <col min="7939" max="7939" width="16" style="194" bestFit="1" customWidth="1"/>
    <col min="7940" max="7941" width="11.42578125" style="194" bestFit="1" customWidth="1"/>
    <col min="7942" max="7942" width="11.5703125" style="194" customWidth="1"/>
    <col min="7943" max="7945" width="11.42578125" style="194" bestFit="1" customWidth="1"/>
    <col min="7946" max="7946" width="12.28515625" style="194" customWidth="1"/>
    <col min="7947" max="7947" width="1.42578125" style="194" customWidth="1"/>
    <col min="7948" max="7948" width="74.140625" style="194" customWidth="1"/>
    <col min="7949" max="8192" width="8.85546875" style="194"/>
    <col min="8193" max="8193" width="2" style="194" customWidth="1"/>
    <col min="8194" max="8194" width="68.7109375" style="194" bestFit="1" customWidth="1"/>
    <col min="8195" max="8195" width="16" style="194" bestFit="1" customWidth="1"/>
    <col min="8196" max="8197" width="11.42578125" style="194" bestFit="1" customWidth="1"/>
    <col min="8198" max="8198" width="11.5703125" style="194" customWidth="1"/>
    <col min="8199" max="8201" width="11.42578125" style="194" bestFit="1" customWidth="1"/>
    <col min="8202" max="8202" width="12.28515625" style="194" customWidth="1"/>
    <col min="8203" max="8203" width="1.42578125" style="194" customWidth="1"/>
    <col min="8204" max="8204" width="74.140625" style="194" customWidth="1"/>
    <col min="8205" max="8448" width="8.85546875" style="194"/>
    <col min="8449" max="8449" width="2" style="194" customWidth="1"/>
    <col min="8450" max="8450" width="68.7109375" style="194" bestFit="1" customWidth="1"/>
    <col min="8451" max="8451" width="16" style="194" bestFit="1" customWidth="1"/>
    <col min="8452" max="8453" width="11.42578125" style="194" bestFit="1" customWidth="1"/>
    <col min="8454" max="8454" width="11.5703125" style="194" customWidth="1"/>
    <col min="8455" max="8457" width="11.42578125" style="194" bestFit="1" customWidth="1"/>
    <col min="8458" max="8458" width="12.28515625" style="194" customWidth="1"/>
    <col min="8459" max="8459" width="1.42578125" style="194" customWidth="1"/>
    <col min="8460" max="8460" width="74.140625" style="194" customWidth="1"/>
    <col min="8461" max="8704" width="8.85546875" style="194"/>
    <col min="8705" max="8705" width="2" style="194" customWidth="1"/>
    <col min="8706" max="8706" width="68.7109375" style="194" bestFit="1" customWidth="1"/>
    <col min="8707" max="8707" width="16" style="194" bestFit="1" customWidth="1"/>
    <col min="8708" max="8709" width="11.42578125" style="194" bestFit="1" customWidth="1"/>
    <col min="8710" max="8710" width="11.5703125" style="194" customWidth="1"/>
    <col min="8711" max="8713" width="11.42578125" style="194" bestFit="1" customWidth="1"/>
    <col min="8714" max="8714" width="12.28515625" style="194" customWidth="1"/>
    <col min="8715" max="8715" width="1.42578125" style="194" customWidth="1"/>
    <col min="8716" max="8716" width="74.140625" style="194" customWidth="1"/>
    <col min="8717" max="8960" width="8.85546875" style="194"/>
    <col min="8961" max="8961" width="2" style="194" customWidth="1"/>
    <col min="8962" max="8962" width="68.7109375" style="194" bestFit="1" customWidth="1"/>
    <col min="8963" max="8963" width="16" style="194" bestFit="1" customWidth="1"/>
    <col min="8964" max="8965" width="11.42578125" style="194" bestFit="1" customWidth="1"/>
    <col min="8966" max="8966" width="11.5703125" style="194" customWidth="1"/>
    <col min="8967" max="8969" width="11.42578125" style="194" bestFit="1" customWidth="1"/>
    <col min="8970" max="8970" width="12.28515625" style="194" customWidth="1"/>
    <col min="8971" max="8971" width="1.42578125" style="194" customWidth="1"/>
    <col min="8972" max="8972" width="74.140625" style="194" customWidth="1"/>
    <col min="8973" max="9216" width="8.85546875" style="194"/>
    <col min="9217" max="9217" width="2" style="194" customWidth="1"/>
    <col min="9218" max="9218" width="68.7109375" style="194" bestFit="1" customWidth="1"/>
    <col min="9219" max="9219" width="16" style="194" bestFit="1" customWidth="1"/>
    <col min="9220" max="9221" width="11.42578125" style="194" bestFit="1" customWidth="1"/>
    <col min="9222" max="9222" width="11.5703125" style="194" customWidth="1"/>
    <col min="9223" max="9225" width="11.42578125" style="194" bestFit="1" customWidth="1"/>
    <col min="9226" max="9226" width="12.28515625" style="194" customWidth="1"/>
    <col min="9227" max="9227" width="1.42578125" style="194" customWidth="1"/>
    <col min="9228" max="9228" width="74.140625" style="194" customWidth="1"/>
    <col min="9229" max="9472" width="8.85546875" style="194"/>
    <col min="9473" max="9473" width="2" style="194" customWidth="1"/>
    <col min="9474" max="9474" width="68.7109375" style="194" bestFit="1" customWidth="1"/>
    <col min="9475" max="9475" width="16" style="194" bestFit="1" customWidth="1"/>
    <col min="9476" max="9477" width="11.42578125" style="194" bestFit="1" customWidth="1"/>
    <col min="9478" max="9478" width="11.5703125" style="194" customWidth="1"/>
    <col min="9479" max="9481" width="11.42578125" style="194" bestFit="1" customWidth="1"/>
    <col min="9482" max="9482" width="12.28515625" style="194" customWidth="1"/>
    <col min="9483" max="9483" width="1.42578125" style="194" customWidth="1"/>
    <col min="9484" max="9484" width="74.140625" style="194" customWidth="1"/>
    <col min="9485" max="9728" width="8.85546875" style="194"/>
    <col min="9729" max="9729" width="2" style="194" customWidth="1"/>
    <col min="9730" max="9730" width="68.7109375" style="194" bestFit="1" customWidth="1"/>
    <col min="9731" max="9731" width="16" style="194" bestFit="1" customWidth="1"/>
    <col min="9732" max="9733" width="11.42578125" style="194" bestFit="1" customWidth="1"/>
    <col min="9734" max="9734" width="11.5703125" style="194" customWidth="1"/>
    <col min="9735" max="9737" width="11.42578125" style="194" bestFit="1" customWidth="1"/>
    <col min="9738" max="9738" width="12.28515625" style="194" customWidth="1"/>
    <col min="9739" max="9739" width="1.42578125" style="194" customWidth="1"/>
    <col min="9740" max="9740" width="74.140625" style="194" customWidth="1"/>
    <col min="9741" max="9984" width="8.85546875" style="194"/>
    <col min="9985" max="9985" width="2" style="194" customWidth="1"/>
    <col min="9986" max="9986" width="68.7109375" style="194" bestFit="1" customWidth="1"/>
    <col min="9987" max="9987" width="16" style="194" bestFit="1" customWidth="1"/>
    <col min="9988" max="9989" width="11.42578125" style="194" bestFit="1" customWidth="1"/>
    <col min="9990" max="9990" width="11.5703125" style="194" customWidth="1"/>
    <col min="9991" max="9993" width="11.42578125" style="194" bestFit="1" customWidth="1"/>
    <col min="9994" max="9994" width="12.28515625" style="194" customWidth="1"/>
    <col min="9995" max="9995" width="1.42578125" style="194" customWidth="1"/>
    <col min="9996" max="9996" width="74.140625" style="194" customWidth="1"/>
    <col min="9997" max="10240" width="8.85546875" style="194"/>
    <col min="10241" max="10241" width="2" style="194" customWidth="1"/>
    <col min="10242" max="10242" width="68.7109375" style="194" bestFit="1" customWidth="1"/>
    <col min="10243" max="10243" width="16" style="194" bestFit="1" customWidth="1"/>
    <col min="10244" max="10245" width="11.42578125" style="194" bestFit="1" customWidth="1"/>
    <col min="10246" max="10246" width="11.5703125" style="194" customWidth="1"/>
    <col min="10247" max="10249" width="11.42578125" style="194" bestFit="1" customWidth="1"/>
    <col min="10250" max="10250" width="12.28515625" style="194" customWidth="1"/>
    <col min="10251" max="10251" width="1.42578125" style="194" customWidth="1"/>
    <col min="10252" max="10252" width="74.140625" style="194" customWidth="1"/>
    <col min="10253" max="10496" width="8.85546875" style="194"/>
    <col min="10497" max="10497" width="2" style="194" customWidth="1"/>
    <col min="10498" max="10498" width="68.7109375" style="194" bestFit="1" customWidth="1"/>
    <col min="10499" max="10499" width="16" style="194" bestFit="1" customWidth="1"/>
    <col min="10500" max="10501" width="11.42578125" style="194" bestFit="1" customWidth="1"/>
    <col min="10502" max="10502" width="11.5703125" style="194" customWidth="1"/>
    <col min="10503" max="10505" width="11.42578125" style="194" bestFit="1" customWidth="1"/>
    <col min="10506" max="10506" width="12.28515625" style="194" customWidth="1"/>
    <col min="10507" max="10507" width="1.42578125" style="194" customWidth="1"/>
    <col min="10508" max="10508" width="74.140625" style="194" customWidth="1"/>
    <col min="10509" max="10752" width="8.85546875" style="194"/>
    <col min="10753" max="10753" width="2" style="194" customWidth="1"/>
    <col min="10754" max="10754" width="68.7109375" style="194" bestFit="1" customWidth="1"/>
    <col min="10755" max="10755" width="16" style="194" bestFit="1" customWidth="1"/>
    <col min="10756" max="10757" width="11.42578125" style="194" bestFit="1" customWidth="1"/>
    <col min="10758" max="10758" width="11.5703125" style="194" customWidth="1"/>
    <col min="10759" max="10761" width="11.42578125" style="194" bestFit="1" customWidth="1"/>
    <col min="10762" max="10762" width="12.28515625" style="194" customWidth="1"/>
    <col min="10763" max="10763" width="1.42578125" style="194" customWidth="1"/>
    <col min="10764" max="10764" width="74.140625" style="194" customWidth="1"/>
    <col min="10765" max="11008" width="8.85546875" style="194"/>
    <col min="11009" max="11009" width="2" style="194" customWidth="1"/>
    <col min="11010" max="11010" width="68.7109375" style="194" bestFit="1" customWidth="1"/>
    <col min="11011" max="11011" width="16" style="194" bestFit="1" customWidth="1"/>
    <col min="11012" max="11013" width="11.42578125" style="194" bestFit="1" customWidth="1"/>
    <col min="11014" max="11014" width="11.5703125" style="194" customWidth="1"/>
    <col min="11015" max="11017" width="11.42578125" style="194" bestFit="1" customWidth="1"/>
    <col min="11018" max="11018" width="12.28515625" style="194" customWidth="1"/>
    <col min="11019" max="11019" width="1.42578125" style="194" customWidth="1"/>
    <col min="11020" max="11020" width="74.140625" style="194" customWidth="1"/>
    <col min="11021" max="11264" width="8.85546875" style="194"/>
    <col min="11265" max="11265" width="2" style="194" customWidth="1"/>
    <col min="11266" max="11266" width="68.7109375" style="194" bestFit="1" customWidth="1"/>
    <col min="11267" max="11267" width="16" style="194" bestFit="1" customWidth="1"/>
    <col min="11268" max="11269" width="11.42578125" style="194" bestFit="1" customWidth="1"/>
    <col min="11270" max="11270" width="11.5703125" style="194" customWidth="1"/>
    <col min="11271" max="11273" width="11.42578125" style="194" bestFit="1" customWidth="1"/>
    <col min="11274" max="11274" width="12.28515625" style="194" customWidth="1"/>
    <col min="11275" max="11275" width="1.42578125" style="194" customWidth="1"/>
    <col min="11276" max="11276" width="74.140625" style="194" customWidth="1"/>
    <col min="11277" max="11520" width="8.85546875" style="194"/>
    <col min="11521" max="11521" width="2" style="194" customWidth="1"/>
    <col min="11522" max="11522" width="68.7109375" style="194" bestFit="1" customWidth="1"/>
    <col min="11523" max="11523" width="16" style="194" bestFit="1" customWidth="1"/>
    <col min="11524" max="11525" width="11.42578125" style="194" bestFit="1" customWidth="1"/>
    <col min="11526" max="11526" width="11.5703125" style="194" customWidth="1"/>
    <col min="11527" max="11529" width="11.42578125" style="194" bestFit="1" customWidth="1"/>
    <col min="11530" max="11530" width="12.28515625" style="194" customWidth="1"/>
    <col min="11531" max="11531" width="1.42578125" style="194" customWidth="1"/>
    <col min="11532" max="11532" width="74.140625" style="194" customWidth="1"/>
    <col min="11533" max="11776" width="8.85546875" style="194"/>
    <col min="11777" max="11777" width="2" style="194" customWidth="1"/>
    <col min="11778" max="11778" width="68.7109375" style="194" bestFit="1" customWidth="1"/>
    <col min="11779" max="11779" width="16" style="194" bestFit="1" customWidth="1"/>
    <col min="11780" max="11781" width="11.42578125" style="194" bestFit="1" customWidth="1"/>
    <col min="11782" max="11782" width="11.5703125" style="194" customWidth="1"/>
    <col min="11783" max="11785" width="11.42578125" style="194" bestFit="1" customWidth="1"/>
    <col min="11786" max="11786" width="12.28515625" style="194" customWidth="1"/>
    <col min="11787" max="11787" width="1.42578125" style="194" customWidth="1"/>
    <col min="11788" max="11788" width="74.140625" style="194" customWidth="1"/>
    <col min="11789" max="12032" width="8.85546875" style="194"/>
    <col min="12033" max="12033" width="2" style="194" customWidth="1"/>
    <col min="12034" max="12034" width="68.7109375" style="194" bestFit="1" customWidth="1"/>
    <col min="12035" max="12035" width="16" style="194" bestFit="1" customWidth="1"/>
    <col min="12036" max="12037" width="11.42578125" style="194" bestFit="1" customWidth="1"/>
    <col min="12038" max="12038" width="11.5703125" style="194" customWidth="1"/>
    <col min="12039" max="12041" width="11.42578125" style="194" bestFit="1" customWidth="1"/>
    <col min="12042" max="12042" width="12.28515625" style="194" customWidth="1"/>
    <col min="12043" max="12043" width="1.42578125" style="194" customWidth="1"/>
    <col min="12044" max="12044" width="74.140625" style="194" customWidth="1"/>
    <col min="12045" max="12288" width="8.85546875" style="194"/>
    <col min="12289" max="12289" width="2" style="194" customWidth="1"/>
    <col min="12290" max="12290" width="68.7109375" style="194" bestFit="1" customWidth="1"/>
    <col min="12291" max="12291" width="16" style="194" bestFit="1" customWidth="1"/>
    <col min="12292" max="12293" width="11.42578125" style="194" bestFit="1" customWidth="1"/>
    <col min="12294" max="12294" width="11.5703125" style="194" customWidth="1"/>
    <col min="12295" max="12297" width="11.42578125" style="194" bestFit="1" customWidth="1"/>
    <col min="12298" max="12298" width="12.28515625" style="194" customWidth="1"/>
    <col min="12299" max="12299" width="1.42578125" style="194" customWidth="1"/>
    <col min="12300" max="12300" width="74.140625" style="194" customWidth="1"/>
    <col min="12301" max="12544" width="8.85546875" style="194"/>
    <col min="12545" max="12545" width="2" style="194" customWidth="1"/>
    <col min="12546" max="12546" width="68.7109375" style="194" bestFit="1" customWidth="1"/>
    <col min="12547" max="12547" width="16" style="194" bestFit="1" customWidth="1"/>
    <col min="12548" max="12549" width="11.42578125" style="194" bestFit="1" customWidth="1"/>
    <col min="12550" max="12550" width="11.5703125" style="194" customWidth="1"/>
    <col min="12551" max="12553" width="11.42578125" style="194" bestFit="1" customWidth="1"/>
    <col min="12554" max="12554" width="12.28515625" style="194" customWidth="1"/>
    <col min="12555" max="12555" width="1.42578125" style="194" customWidth="1"/>
    <col min="12556" max="12556" width="74.140625" style="194" customWidth="1"/>
    <col min="12557" max="12800" width="8.85546875" style="194"/>
    <col min="12801" max="12801" width="2" style="194" customWidth="1"/>
    <col min="12802" max="12802" width="68.7109375" style="194" bestFit="1" customWidth="1"/>
    <col min="12803" max="12803" width="16" style="194" bestFit="1" customWidth="1"/>
    <col min="12804" max="12805" width="11.42578125" style="194" bestFit="1" customWidth="1"/>
    <col min="12806" max="12806" width="11.5703125" style="194" customWidth="1"/>
    <col min="12807" max="12809" width="11.42578125" style="194" bestFit="1" customWidth="1"/>
    <col min="12810" max="12810" width="12.28515625" style="194" customWidth="1"/>
    <col min="12811" max="12811" width="1.42578125" style="194" customWidth="1"/>
    <col min="12812" max="12812" width="74.140625" style="194" customWidth="1"/>
    <col min="12813" max="13056" width="8.85546875" style="194"/>
    <col min="13057" max="13057" width="2" style="194" customWidth="1"/>
    <col min="13058" max="13058" width="68.7109375" style="194" bestFit="1" customWidth="1"/>
    <col min="13059" max="13059" width="16" style="194" bestFit="1" customWidth="1"/>
    <col min="13060" max="13061" width="11.42578125" style="194" bestFit="1" customWidth="1"/>
    <col min="13062" max="13062" width="11.5703125" style="194" customWidth="1"/>
    <col min="13063" max="13065" width="11.42578125" style="194" bestFit="1" customWidth="1"/>
    <col min="13066" max="13066" width="12.28515625" style="194" customWidth="1"/>
    <col min="13067" max="13067" width="1.42578125" style="194" customWidth="1"/>
    <col min="13068" max="13068" width="74.140625" style="194" customWidth="1"/>
    <col min="13069" max="13312" width="8.85546875" style="194"/>
    <col min="13313" max="13313" width="2" style="194" customWidth="1"/>
    <col min="13314" max="13314" width="68.7109375" style="194" bestFit="1" customWidth="1"/>
    <col min="13315" max="13315" width="16" style="194" bestFit="1" customWidth="1"/>
    <col min="13316" max="13317" width="11.42578125" style="194" bestFit="1" customWidth="1"/>
    <col min="13318" max="13318" width="11.5703125" style="194" customWidth="1"/>
    <col min="13319" max="13321" width="11.42578125" style="194" bestFit="1" customWidth="1"/>
    <col min="13322" max="13322" width="12.28515625" style="194" customWidth="1"/>
    <col min="13323" max="13323" width="1.42578125" style="194" customWidth="1"/>
    <col min="13324" max="13324" width="74.140625" style="194" customWidth="1"/>
    <col min="13325" max="13568" width="8.85546875" style="194"/>
    <col min="13569" max="13569" width="2" style="194" customWidth="1"/>
    <col min="13570" max="13570" width="68.7109375" style="194" bestFit="1" customWidth="1"/>
    <col min="13571" max="13571" width="16" style="194" bestFit="1" customWidth="1"/>
    <col min="13572" max="13573" width="11.42578125" style="194" bestFit="1" customWidth="1"/>
    <col min="13574" max="13574" width="11.5703125" style="194" customWidth="1"/>
    <col min="13575" max="13577" width="11.42578125" style="194" bestFit="1" customWidth="1"/>
    <col min="13578" max="13578" width="12.28515625" style="194" customWidth="1"/>
    <col min="13579" max="13579" width="1.42578125" style="194" customWidth="1"/>
    <col min="13580" max="13580" width="74.140625" style="194" customWidth="1"/>
    <col min="13581" max="13824" width="8.85546875" style="194"/>
    <col min="13825" max="13825" width="2" style="194" customWidth="1"/>
    <col min="13826" max="13826" width="68.7109375" style="194" bestFit="1" customWidth="1"/>
    <col min="13827" max="13827" width="16" style="194" bestFit="1" customWidth="1"/>
    <col min="13828" max="13829" width="11.42578125" style="194" bestFit="1" customWidth="1"/>
    <col min="13830" max="13830" width="11.5703125" style="194" customWidth="1"/>
    <col min="13831" max="13833" width="11.42578125" style="194" bestFit="1" customWidth="1"/>
    <col min="13834" max="13834" width="12.28515625" style="194" customWidth="1"/>
    <col min="13835" max="13835" width="1.42578125" style="194" customWidth="1"/>
    <col min="13836" max="13836" width="74.140625" style="194" customWidth="1"/>
    <col min="13837" max="14080" width="8.85546875" style="194"/>
    <col min="14081" max="14081" width="2" style="194" customWidth="1"/>
    <col min="14082" max="14082" width="68.7109375" style="194" bestFit="1" customWidth="1"/>
    <col min="14083" max="14083" width="16" style="194" bestFit="1" customWidth="1"/>
    <col min="14084" max="14085" width="11.42578125" style="194" bestFit="1" customWidth="1"/>
    <col min="14086" max="14086" width="11.5703125" style="194" customWidth="1"/>
    <col min="14087" max="14089" width="11.42578125" style="194" bestFit="1" customWidth="1"/>
    <col min="14090" max="14090" width="12.28515625" style="194" customWidth="1"/>
    <col min="14091" max="14091" width="1.42578125" style="194" customWidth="1"/>
    <col min="14092" max="14092" width="74.140625" style="194" customWidth="1"/>
    <col min="14093" max="14336" width="8.85546875" style="194"/>
    <col min="14337" max="14337" width="2" style="194" customWidth="1"/>
    <col min="14338" max="14338" width="68.7109375" style="194" bestFit="1" customWidth="1"/>
    <col min="14339" max="14339" width="16" style="194" bestFit="1" customWidth="1"/>
    <col min="14340" max="14341" width="11.42578125" style="194" bestFit="1" customWidth="1"/>
    <col min="14342" max="14342" width="11.5703125" style="194" customWidth="1"/>
    <col min="14343" max="14345" width="11.42578125" style="194" bestFit="1" customWidth="1"/>
    <col min="14346" max="14346" width="12.28515625" style="194" customWidth="1"/>
    <col min="14347" max="14347" width="1.42578125" style="194" customWidth="1"/>
    <col min="14348" max="14348" width="74.140625" style="194" customWidth="1"/>
    <col min="14349" max="14592" width="8.85546875" style="194"/>
    <col min="14593" max="14593" width="2" style="194" customWidth="1"/>
    <col min="14594" max="14594" width="68.7109375" style="194" bestFit="1" customWidth="1"/>
    <col min="14595" max="14595" width="16" style="194" bestFit="1" customWidth="1"/>
    <col min="14596" max="14597" width="11.42578125" style="194" bestFit="1" customWidth="1"/>
    <col min="14598" max="14598" width="11.5703125" style="194" customWidth="1"/>
    <col min="14599" max="14601" width="11.42578125" style="194" bestFit="1" customWidth="1"/>
    <col min="14602" max="14602" width="12.28515625" style="194" customWidth="1"/>
    <col min="14603" max="14603" width="1.42578125" style="194" customWidth="1"/>
    <col min="14604" max="14604" width="74.140625" style="194" customWidth="1"/>
    <col min="14605" max="14848" width="8.85546875" style="194"/>
    <col min="14849" max="14849" width="2" style="194" customWidth="1"/>
    <col min="14850" max="14850" width="68.7109375" style="194" bestFit="1" customWidth="1"/>
    <col min="14851" max="14851" width="16" style="194" bestFit="1" customWidth="1"/>
    <col min="14852" max="14853" width="11.42578125" style="194" bestFit="1" customWidth="1"/>
    <col min="14854" max="14854" width="11.5703125" style="194" customWidth="1"/>
    <col min="14855" max="14857" width="11.42578125" style="194" bestFit="1" customWidth="1"/>
    <col min="14858" max="14858" width="12.28515625" style="194" customWidth="1"/>
    <col min="14859" max="14859" width="1.42578125" style="194" customWidth="1"/>
    <col min="14860" max="14860" width="74.140625" style="194" customWidth="1"/>
    <col min="14861" max="15104" width="8.85546875" style="194"/>
    <col min="15105" max="15105" width="2" style="194" customWidth="1"/>
    <col min="15106" max="15106" width="68.7109375" style="194" bestFit="1" customWidth="1"/>
    <col min="15107" max="15107" width="16" style="194" bestFit="1" customWidth="1"/>
    <col min="15108" max="15109" width="11.42578125" style="194" bestFit="1" customWidth="1"/>
    <col min="15110" max="15110" width="11.5703125" style="194" customWidth="1"/>
    <col min="15111" max="15113" width="11.42578125" style="194" bestFit="1" customWidth="1"/>
    <col min="15114" max="15114" width="12.28515625" style="194" customWidth="1"/>
    <col min="15115" max="15115" width="1.42578125" style="194" customWidth="1"/>
    <col min="15116" max="15116" width="74.140625" style="194" customWidth="1"/>
    <col min="15117" max="15360" width="8.85546875" style="194"/>
    <col min="15361" max="15361" width="2" style="194" customWidth="1"/>
    <col min="15362" max="15362" width="68.7109375" style="194" bestFit="1" customWidth="1"/>
    <col min="15363" max="15363" width="16" style="194" bestFit="1" customWidth="1"/>
    <col min="15364" max="15365" width="11.42578125" style="194" bestFit="1" customWidth="1"/>
    <col min="15366" max="15366" width="11.5703125" style="194" customWidth="1"/>
    <col min="15367" max="15369" width="11.42578125" style="194" bestFit="1" customWidth="1"/>
    <col min="15370" max="15370" width="12.28515625" style="194" customWidth="1"/>
    <col min="15371" max="15371" width="1.42578125" style="194" customWidth="1"/>
    <col min="15372" max="15372" width="74.140625" style="194" customWidth="1"/>
    <col min="15373" max="15616" width="8.85546875" style="194"/>
    <col min="15617" max="15617" width="2" style="194" customWidth="1"/>
    <col min="15618" max="15618" width="68.7109375" style="194" bestFit="1" customWidth="1"/>
    <col min="15619" max="15619" width="16" style="194" bestFit="1" customWidth="1"/>
    <col min="15620" max="15621" width="11.42578125" style="194" bestFit="1" customWidth="1"/>
    <col min="15622" max="15622" width="11.5703125" style="194" customWidth="1"/>
    <col min="15623" max="15625" width="11.42578125" style="194" bestFit="1" customWidth="1"/>
    <col min="15626" max="15626" width="12.28515625" style="194" customWidth="1"/>
    <col min="15627" max="15627" width="1.42578125" style="194" customWidth="1"/>
    <col min="15628" max="15628" width="74.140625" style="194" customWidth="1"/>
    <col min="15629" max="15872" width="8.85546875" style="194"/>
    <col min="15873" max="15873" width="2" style="194" customWidth="1"/>
    <col min="15874" max="15874" width="68.7109375" style="194" bestFit="1" customWidth="1"/>
    <col min="15875" max="15875" width="16" style="194" bestFit="1" customWidth="1"/>
    <col min="15876" max="15877" width="11.42578125" style="194" bestFit="1" customWidth="1"/>
    <col min="15878" max="15878" width="11.5703125" style="194" customWidth="1"/>
    <col min="15879" max="15881" width="11.42578125" style="194" bestFit="1" customWidth="1"/>
    <col min="15882" max="15882" width="12.28515625" style="194" customWidth="1"/>
    <col min="15883" max="15883" width="1.42578125" style="194" customWidth="1"/>
    <col min="15884" max="15884" width="74.140625" style="194" customWidth="1"/>
    <col min="15885" max="16128" width="8.85546875" style="194"/>
    <col min="16129" max="16129" width="2" style="194" customWidth="1"/>
    <col min="16130" max="16130" width="68.7109375" style="194" bestFit="1" customWidth="1"/>
    <col min="16131" max="16131" width="16" style="194" bestFit="1" customWidth="1"/>
    <col min="16132" max="16133" width="11.42578125" style="194" bestFit="1" customWidth="1"/>
    <col min="16134" max="16134" width="11.5703125" style="194" customWidth="1"/>
    <col min="16135" max="16137" width="11.42578125" style="194" bestFit="1" customWidth="1"/>
    <col min="16138" max="16138" width="12.28515625" style="194" customWidth="1"/>
    <col min="16139" max="16139" width="1.42578125" style="194" customWidth="1"/>
    <col min="16140" max="16140" width="74.140625" style="194" customWidth="1"/>
    <col min="16141" max="16384" width="8.85546875" style="194"/>
  </cols>
  <sheetData>
    <row r="1" spans="1:12">
      <c r="C1" s="194"/>
    </row>
    <row r="2" spans="1:12" hidden="1">
      <c r="B2" s="196"/>
      <c r="C2" s="197"/>
      <c r="D2" s="197"/>
      <c r="E2" s="198"/>
      <c r="F2" s="198"/>
      <c r="G2" s="198"/>
      <c r="H2" s="198"/>
      <c r="I2" s="198"/>
      <c r="J2" s="199"/>
      <c r="K2" s="200"/>
      <c r="L2" s="200"/>
    </row>
    <row r="3" spans="1:12" ht="15.75" hidden="1">
      <c r="B3" s="201" t="s">
        <v>283</v>
      </c>
      <c r="C3" s="200"/>
      <c r="D3" s="200"/>
      <c r="E3" s="202"/>
      <c r="F3" s="202"/>
      <c r="G3" s="202"/>
      <c r="H3" s="202"/>
      <c r="I3" s="202"/>
      <c r="J3" s="203"/>
      <c r="K3" s="200"/>
      <c r="L3" s="200"/>
    </row>
    <row r="4" spans="1:12" hidden="1">
      <c r="B4" s="204"/>
      <c r="C4" s="200"/>
      <c r="D4" s="200"/>
      <c r="E4" s="202"/>
      <c r="F4" s="202"/>
      <c r="G4" s="202"/>
      <c r="H4" s="202"/>
      <c r="I4" s="202"/>
      <c r="J4" s="203"/>
      <c r="K4" s="200"/>
      <c r="L4" s="200"/>
    </row>
    <row r="5" spans="1:12" ht="15.75" hidden="1">
      <c r="B5" s="205" t="s">
        <v>284</v>
      </c>
      <c r="C5" s="206">
        <v>32672000</v>
      </c>
      <c r="D5" s="200"/>
      <c r="E5" s="202"/>
      <c r="F5" s="202"/>
      <c r="G5" s="202"/>
      <c r="H5" s="202"/>
      <c r="I5" s="202"/>
      <c r="J5" s="203"/>
      <c r="K5" s="200"/>
      <c r="L5" s="200"/>
    </row>
    <row r="6" spans="1:12" ht="11.25" hidden="1" customHeight="1">
      <c r="B6" s="204"/>
      <c r="C6" s="207"/>
      <c r="D6" s="200"/>
      <c r="E6" s="202"/>
      <c r="F6" s="202"/>
      <c r="G6" s="202"/>
      <c r="H6" s="202"/>
      <c r="I6" s="202"/>
      <c r="J6" s="203"/>
      <c r="K6" s="200"/>
      <c r="L6" s="208"/>
    </row>
    <row r="7" spans="1:12" ht="30.75" hidden="1" customHeight="1">
      <c r="B7" s="529" t="s">
        <v>285</v>
      </c>
      <c r="C7" s="530"/>
      <c r="D7" s="530"/>
      <c r="E7" s="530"/>
      <c r="F7" s="508"/>
      <c r="G7" s="508" t="s">
        <v>286</v>
      </c>
      <c r="H7" s="508"/>
      <c r="I7" s="508"/>
      <c r="J7" s="203"/>
      <c r="K7" s="200"/>
      <c r="L7" s="200"/>
    </row>
    <row r="8" spans="1:12" ht="15.75" hidden="1">
      <c r="B8" s="204" t="s">
        <v>287</v>
      </c>
      <c r="C8" s="207">
        <f>C5*D8</f>
        <v>980160</v>
      </c>
      <c r="D8" s="210">
        <v>0.03</v>
      </c>
      <c r="E8" s="202"/>
      <c r="F8" s="202"/>
      <c r="G8" s="211">
        <f>D44</f>
        <v>1095000</v>
      </c>
      <c r="H8" s="212">
        <f>G8/$C$5</f>
        <v>3.3514936336924581E-2</v>
      </c>
      <c r="I8" s="202"/>
      <c r="J8" s="203"/>
      <c r="K8" s="200"/>
      <c r="L8" s="200"/>
    </row>
    <row r="9" spans="1:12" ht="15.75" hidden="1">
      <c r="B9" s="204" t="s">
        <v>288</v>
      </c>
      <c r="C9" s="207">
        <f>C5*D9</f>
        <v>1992992</v>
      </c>
      <c r="D9" s="213">
        <v>6.0999999999999999E-2</v>
      </c>
      <c r="E9" s="202"/>
      <c r="F9" s="202"/>
      <c r="G9" s="211">
        <f>E44</f>
        <v>2195600</v>
      </c>
      <c r="H9" s="213">
        <f>G9/$C$5</f>
        <v>6.7201273261508321E-2</v>
      </c>
      <c r="I9" s="202"/>
      <c r="J9" s="203"/>
      <c r="K9" s="200"/>
      <c r="L9" s="200"/>
    </row>
    <row r="10" spans="1:12" ht="15.75" hidden="1">
      <c r="B10" s="204" t="s">
        <v>289</v>
      </c>
      <c r="C10" s="207">
        <f>C5*D10</f>
        <v>3365216</v>
      </c>
      <c r="D10" s="213">
        <v>0.10299999999999999</v>
      </c>
      <c r="E10" s="202"/>
      <c r="F10" s="202"/>
      <c r="G10" s="211">
        <f>F44</f>
        <v>3602600</v>
      </c>
      <c r="H10" s="213">
        <f>G10/$C$5</f>
        <v>0.11026567091087169</v>
      </c>
      <c r="I10" s="202"/>
      <c r="J10" s="203"/>
      <c r="K10" s="200"/>
      <c r="L10" s="200"/>
    </row>
    <row r="11" spans="1:12" hidden="1">
      <c r="B11" s="204"/>
      <c r="C11" s="200"/>
      <c r="D11" s="200"/>
      <c r="E11" s="202"/>
      <c r="F11" s="202"/>
      <c r="G11" s="202"/>
      <c r="H11" s="202"/>
      <c r="I11" s="202"/>
      <c r="J11" s="203"/>
      <c r="K11" s="200"/>
      <c r="L11" s="200"/>
    </row>
    <row r="12" spans="1:12" ht="30" hidden="1">
      <c r="B12" s="214" t="s">
        <v>290</v>
      </c>
      <c r="C12" s="200"/>
      <c r="D12" s="200"/>
      <c r="E12" s="202"/>
      <c r="F12" s="202"/>
      <c r="G12" s="202"/>
      <c r="H12" s="202"/>
      <c r="I12" s="202"/>
      <c r="J12" s="203"/>
      <c r="K12" s="200"/>
      <c r="L12" s="200"/>
    </row>
    <row r="13" spans="1:12" ht="15.75" hidden="1" thickBot="1">
      <c r="B13" s="215"/>
      <c r="C13" s="216"/>
      <c r="D13" s="217"/>
      <c r="E13" s="218"/>
      <c r="F13" s="218"/>
      <c r="G13" s="218"/>
      <c r="H13" s="218"/>
      <c r="I13" s="218"/>
      <c r="J13" s="219"/>
    </row>
    <row r="14" spans="1:12" hidden="1">
      <c r="B14" s="220"/>
      <c r="C14" s="200"/>
      <c r="D14" s="200"/>
      <c r="E14" s="202"/>
      <c r="F14" s="202"/>
      <c r="G14" s="202"/>
      <c r="H14" s="202"/>
      <c r="I14" s="202"/>
      <c r="J14" s="200"/>
      <c r="K14" s="221"/>
      <c r="L14" s="221"/>
    </row>
    <row r="15" spans="1:12" ht="47.25" hidden="1">
      <c r="A15" s="222"/>
      <c r="B15" s="223" t="s">
        <v>291</v>
      </c>
      <c r="C15" s="224" t="s">
        <v>292</v>
      </c>
      <c r="D15" s="225" t="s">
        <v>293</v>
      </c>
      <c r="E15" s="226" t="s">
        <v>294</v>
      </c>
      <c r="F15" s="226" t="s">
        <v>295</v>
      </c>
      <c r="G15" s="226" t="s">
        <v>296</v>
      </c>
      <c r="H15" s="226" t="s">
        <v>297</v>
      </c>
      <c r="I15" s="226" t="s">
        <v>298</v>
      </c>
      <c r="J15" s="227" t="s">
        <v>299</v>
      </c>
      <c r="K15" s="200"/>
      <c r="L15" s="228" t="s">
        <v>300</v>
      </c>
    </row>
    <row r="16" spans="1:12" ht="15.75" hidden="1">
      <c r="B16" s="229"/>
      <c r="C16" s="200"/>
      <c r="D16" s="200"/>
      <c r="E16" s="202"/>
      <c r="F16" s="202"/>
      <c r="G16" s="202"/>
      <c r="H16" s="202"/>
      <c r="I16" s="202"/>
      <c r="J16" s="200"/>
      <c r="K16" s="200"/>
      <c r="L16" s="200"/>
    </row>
    <row r="17" spans="1:12" ht="15.75" hidden="1">
      <c r="B17" s="531"/>
      <c r="C17" s="532"/>
      <c r="D17" s="200"/>
      <c r="E17" s="202"/>
      <c r="F17" s="202"/>
      <c r="G17" s="202"/>
      <c r="H17" s="202"/>
      <c r="I17" s="202"/>
      <c r="J17" s="200"/>
      <c r="K17" s="200"/>
      <c r="L17" s="200"/>
    </row>
    <row r="18" spans="1:12" hidden="1">
      <c r="B18" s="230" t="s">
        <v>48</v>
      </c>
      <c r="C18" s="200" t="s">
        <v>301</v>
      </c>
      <c r="D18" s="207">
        <v>35000</v>
      </c>
      <c r="E18" s="211">
        <v>35000</v>
      </c>
      <c r="F18" s="211">
        <v>35000</v>
      </c>
      <c r="G18" s="211">
        <v>35000</v>
      </c>
      <c r="H18" s="211">
        <v>35000</v>
      </c>
      <c r="I18" s="211">
        <v>35000</v>
      </c>
      <c r="J18" s="211">
        <v>35000</v>
      </c>
      <c r="K18" s="200"/>
      <c r="L18" s="200" t="s">
        <v>101</v>
      </c>
    </row>
    <row r="19" spans="1:12" hidden="1">
      <c r="B19" s="230" t="s">
        <v>102</v>
      </c>
      <c r="C19" s="200" t="s">
        <v>301</v>
      </c>
      <c r="D19" s="207">
        <v>23000</v>
      </c>
      <c r="E19" s="211">
        <v>46000</v>
      </c>
      <c r="F19" s="211">
        <v>43000</v>
      </c>
      <c r="G19" s="211">
        <v>43000</v>
      </c>
      <c r="H19" s="211">
        <v>46000</v>
      </c>
      <c r="I19" s="211">
        <v>46000</v>
      </c>
      <c r="J19" s="211">
        <v>46000</v>
      </c>
      <c r="K19" s="200"/>
      <c r="L19" s="200" t="s">
        <v>302</v>
      </c>
    </row>
    <row r="20" spans="1:12" ht="30" hidden="1">
      <c r="B20" s="230" t="s">
        <v>303</v>
      </c>
      <c r="C20" s="200" t="s">
        <v>301</v>
      </c>
      <c r="D20" s="207">
        <v>37000</v>
      </c>
      <c r="E20" s="211">
        <v>57000</v>
      </c>
      <c r="F20" s="211">
        <v>80000</v>
      </c>
      <c r="G20" s="211">
        <v>103000</v>
      </c>
      <c r="H20" s="211">
        <v>126000</v>
      </c>
      <c r="I20" s="211">
        <v>126000</v>
      </c>
      <c r="J20" s="211">
        <v>126000</v>
      </c>
      <c r="K20" s="200"/>
      <c r="L20" s="208" t="s">
        <v>304</v>
      </c>
    </row>
    <row r="21" spans="1:12" hidden="1">
      <c r="B21" s="230" t="s">
        <v>103</v>
      </c>
      <c r="C21" s="200" t="s">
        <v>301</v>
      </c>
      <c r="D21" s="207">
        <v>0</v>
      </c>
      <c r="E21" s="211">
        <v>0</v>
      </c>
      <c r="F21" s="211">
        <v>0</v>
      </c>
      <c r="G21" s="211">
        <v>0</v>
      </c>
      <c r="H21" s="211">
        <v>40000</v>
      </c>
      <c r="I21" s="211">
        <v>40000</v>
      </c>
      <c r="J21" s="211">
        <v>40000</v>
      </c>
      <c r="K21" s="200"/>
      <c r="L21" s="200" t="s">
        <v>104</v>
      </c>
    </row>
    <row r="22" spans="1:12" hidden="1">
      <c r="B22" s="230" t="s">
        <v>107</v>
      </c>
      <c r="C22" s="200" t="s">
        <v>301</v>
      </c>
      <c r="D22" s="207">
        <v>15000</v>
      </c>
      <c r="E22" s="211">
        <v>29000</v>
      </c>
      <c r="F22" s="211">
        <v>20000</v>
      </c>
      <c r="G22" s="211">
        <v>20000</v>
      </c>
      <c r="H22" s="211">
        <v>29000</v>
      </c>
      <c r="I22" s="211">
        <v>29000</v>
      </c>
      <c r="J22" s="211">
        <v>29000</v>
      </c>
      <c r="K22" s="200"/>
      <c r="L22" s="208" t="s">
        <v>108</v>
      </c>
    </row>
    <row r="23" spans="1:12" ht="30" hidden="1">
      <c r="B23" s="230" t="s">
        <v>305</v>
      </c>
      <c r="C23" s="200" t="s">
        <v>301</v>
      </c>
      <c r="D23" s="207">
        <v>0</v>
      </c>
      <c r="E23" s="211">
        <v>0</v>
      </c>
      <c r="F23" s="211">
        <v>1500</v>
      </c>
      <c r="G23" s="211">
        <v>0</v>
      </c>
      <c r="H23" s="211">
        <v>27000</v>
      </c>
      <c r="I23" s="211">
        <v>27000</v>
      </c>
      <c r="J23" s="211">
        <v>27000</v>
      </c>
      <c r="K23" s="200"/>
      <c r="L23" s="208" t="s">
        <v>306</v>
      </c>
    </row>
    <row r="24" spans="1:12" hidden="1">
      <c r="B24" s="230" t="s">
        <v>109</v>
      </c>
      <c r="C24" s="200" t="s">
        <v>301</v>
      </c>
      <c r="D24" s="207">
        <v>0</v>
      </c>
      <c r="E24" s="211">
        <v>0</v>
      </c>
      <c r="F24" s="211">
        <v>0</v>
      </c>
      <c r="G24" s="211">
        <v>0</v>
      </c>
      <c r="H24" s="211">
        <v>7000</v>
      </c>
      <c r="I24" s="211">
        <v>7000</v>
      </c>
      <c r="J24" s="211">
        <v>7000</v>
      </c>
      <c r="K24" s="200"/>
      <c r="L24" s="200" t="s">
        <v>110</v>
      </c>
    </row>
    <row r="25" spans="1:12" hidden="1">
      <c r="B25" s="230" t="s">
        <v>111</v>
      </c>
      <c r="C25" s="200" t="s">
        <v>301</v>
      </c>
      <c r="D25" s="207">
        <v>0</v>
      </c>
      <c r="E25" s="211">
        <v>0</v>
      </c>
      <c r="F25" s="211">
        <v>0</v>
      </c>
      <c r="G25" s="211">
        <v>0</v>
      </c>
      <c r="H25" s="211">
        <v>36000</v>
      </c>
      <c r="I25" s="211">
        <v>36000</v>
      </c>
      <c r="J25" s="211">
        <v>36000</v>
      </c>
      <c r="K25" s="200"/>
      <c r="L25" s="200" t="s">
        <v>112</v>
      </c>
    </row>
    <row r="26" spans="1:12" hidden="1">
      <c r="B26" s="230" t="s">
        <v>84</v>
      </c>
      <c r="C26" s="200" t="s">
        <v>301</v>
      </c>
      <c r="D26" s="207">
        <v>0</v>
      </c>
      <c r="E26" s="211">
        <v>3000</v>
      </c>
      <c r="F26" s="211">
        <v>75000</v>
      </c>
      <c r="G26" s="211">
        <v>30000</v>
      </c>
      <c r="H26" s="211">
        <v>126000</v>
      </c>
      <c r="I26" s="211">
        <v>127000</v>
      </c>
      <c r="J26" s="207">
        <v>127000</v>
      </c>
      <c r="K26" s="200"/>
      <c r="L26" s="200" t="s">
        <v>113</v>
      </c>
    </row>
    <row r="27" spans="1:12" ht="30" hidden="1">
      <c r="B27" s="230" t="s">
        <v>307</v>
      </c>
      <c r="C27" s="200" t="s">
        <v>301</v>
      </c>
      <c r="D27" s="207">
        <v>100000</v>
      </c>
      <c r="E27" s="211">
        <v>100000</v>
      </c>
      <c r="F27" s="211">
        <v>100000</v>
      </c>
      <c r="G27" s="211">
        <v>100000</v>
      </c>
      <c r="H27" s="211">
        <v>100000</v>
      </c>
      <c r="I27" s="211">
        <v>100000</v>
      </c>
      <c r="J27" s="211">
        <v>100000</v>
      </c>
      <c r="K27" s="200"/>
      <c r="L27" s="208" t="s">
        <v>308</v>
      </c>
    </row>
    <row r="28" spans="1:12" hidden="1">
      <c r="B28" s="230"/>
      <c r="C28" s="200"/>
      <c r="D28" s="207"/>
      <c r="E28" s="211"/>
      <c r="F28" s="211"/>
      <c r="G28" s="211"/>
      <c r="H28" s="211"/>
      <c r="I28" s="211"/>
      <c r="J28" s="211"/>
      <c r="K28" s="200"/>
      <c r="L28" s="208"/>
    </row>
    <row r="29" spans="1:12" ht="15.75" hidden="1">
      <c r="B29" s="231" t="s">
        <v>309</v>
      </c>
      <c r="C29" s="200"/>
      <c r="D29" s="232">
        <f>SUM(D18:D28)</f>
        <v>210000</v>
      </c>
      <c r="E29" s="232">
        <f t="shared" ref="E29:J29" si="0">SUM(E18:E28)</f>
        <v>270000</v>
      </c>
      <c r="F29" s="232">
        <f t="shared" si="0"/>
        <v>354500</v>
      </c>
      <c r="G29" s="232">
        <f t="shared" si="0"/>
        <v>331000</v>
      </c>
      <c r="H29" s="232">
        <f t="shared" si="0"/>
        <v>572000</v>
      </c>
      <c r="I29" s="232">
        <f t="shared" si="0"/>
        <v>573000</v>
      </c>
      <c r="J29" s="232">
        <f t="shared" si="0"/>
        <v>573000</v>
      </c>
      <c r="K29" s="200"/>
      <c r="L29" s="208"/>
    </row>
    <row r="30" spans="1:12" hidden="1">
      <c r="B30" s="230"/>
      <c r="C30" s="200"/>
      <c r="D30" s="207"/>
      <c r="E30" s="211"/>
      <c r="F30" s="211"/>
      <c r="G30" s="211"/>
      <c r="H30" s="211"/>
      <c r="I30" s="211"/>
      <c r="J30" s="211"/>
      <c r="K30" s="200"/>
      <c r="L30" s="208"/>
    </row>
    <row r="31" spans="1:12" ht="30" hidden="1">
      <c r="A31" s="194">
        <v>1</v>
      </c>
      <c r="B31" s="230" t="s">
        <v>100</v>
      </c>
      <c r="C31" s="200" t="s">
        <v>301</v>
      </c>
      <c r="D31" s="207">
        <v>25000</v>
      </c>
      <c r="E31" s="211">
        <v>25000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00"/>
      <c r="L31" s="208" t="s">
        <v>310</v>
      </c>
    </row>
    <row r="32" spans="1:12" hidden="1">
      <c r="A32" s="194">
        <v>1</v>
      </c>
      <c r="B32" s="230" t="s">
        <v>311</v>
      </c>
      <c r="C32" s="200" t="s">
        <v>301</v>
      </c>
      <c r="D32" s="207">
        <v>0</v>
      </c>
      <c r="E32" s="211">
        <v>0</v>
      </c>
      <c r="F32" s="211">
        <v>42000</v>
      </c>
      <c r="G32" s="211">
        <v>93000</v>
      </c>
      <c r="H32" s="211">
        <v>93000</v>
      </c>
      <c r="I32" s="211">
        <v>93000</v>
      </c>
      <c r="J32" s="211">
        <v>93000</v>
      </c>
      <c r="K32" s="200"/>
      <c r="L32" s="208" t="s">
        <v>312</v>
      </c>
    </row>
    <row r="33" spans="1:12" hidden="1">
      <c r="A33" s="194">
        <v>1</v>
      </c>
      <c r="B33" s="230" t="s">
        <v>114</v>
      </c>
      <c r="C33" s="200" t="s">
        <v>301</v>
      </c>
      <c r="D33" s="207">
        <v>0</v>
      </c>
      <c r="E33" s="211">
        <v>163000</v>
      </c>
      <c r="F33" s="211">
        <v>0</v>
      </c>
      <c r="G33" s="211">
        <v>0</v>
      </c>
      <c r="H33" s="211">
        <v>0</v>
      </c>
      <c r="I33" s="211">
        <v>0</v>
      </c>
      <c r="J33" s="207">
        <v>0</v>
      </c>
      <c r="K33" s="200"/>
      <c r="L33" s="200" t="s">
        <v>113</v>
      </c>
    </row>
    <row r="34" spans="1:12" hidden="1">
      <c r="A34" s="194">
        <v>2</v>
      </c>
      <c r="B34" s="230" t="s">
        <v>105</v>
      </c>
      <c r="C34" s="200" t="s">
        <v>313</v>
      </c>
      <c r="D34" s="207">
        <v>206000</v>
      </c>
      <c r="E34" s="211">
        <v>245000</v>
      </c>
      <c r="F34" s="211">
        <v>245000</v>
      </c>
      <c r="G34" s="211">
        <v>245000</v>
      </c>
      <c r="H34" s="211">
        <v>245000</v>
      </c>
      <c r="I34" s="211">
        <v>245000</v>
      </c>
      <c r="J34" s="211">
        <v>245000</v>
      </c>
      <c r="K34" s="200"/>
      <c r="L34" s="200" t="s">
        <v>106</v>
      </c>
    </row>
    <row r="35" spans="1:12" hidden="1">
      <c r="A35" s="194">
        <v>2</v>
      </c>
      <c r="B35" s="230" t="s">
        <v>314</v>
      </c>
      <c r="C35" s="200" t="s">
        <v>313</v>
      </c>
      <c r="D35" s="207">
        <v>2000</v>
      </c>
      <c r="E35" s="211">
        <v>0</v>
      </c>
      <c r="F35" s="211">
        <v>0</v>
      </c>
      <c r="G35" s="211">
        <v>0</v>
      </c>
      <c r="H35" s="211">
        <v>0</v>
      </c>
      <c r="I35" s="211">
        <v>0</v>
      </c>
      <c r="J35" s="200">
        <v>0</v>
      </c>
      <c r="K35" s="200"/>
      <c r="L35" s="200" t="s">
        <v>315</v>
      </c>
    </row>
    <row r="36" spans="1:12" hidden="1">
      <c r="B36" s="233" t="s">
        <v>316</v>
      </c>
      <c r="C36" s="200" t="s">
        <v>313</v>
      </c>
      <c r="D36" s="207">
        <v>0</v>
      </c>
      <c r="E36" s="211">
        <v>0</v>
      </c>
      <c r="F36" s="211">
        <v>503000</v>
      </c>
      <c r="G36" s="211">
        <v>503000</v>
      </c>
      <c r="H36" s="211">
        <v>503000</v>
      </c>
      <c r="I36" s="211">
        <v>503000</v>
      </c>
      <c r="J36" s="200">
        <v>503000</v>
      </c>
      <c r="K36" s="200"/>
      <c r="L36" s="200" t="s">
        <v>317</v>
      </c>
    </row>
    <row r="37" spans="1:12" hidden="1">
      <c r="A37" s="222">
        <v>3</v>
      </c>
      <c r="B37" s="233" t="s">
        <v>318</v>
      </c>
      <c r="C37" s="200" t="s">
        <v>313</v>
      </c>
      <c r="D37" s="207">
        <v>499000</v>
      </c>
      <c r="E37" s="234">
        <v>785600</v>
      </c>
      <c r="F37" s="234">
        <v>537100</v>
      </c>
      <c r="G37" s="234">
        <v>537100</v>
      </c>
      <c r="H37" s="234">
        <v>537100</v>
      </c>
      <c r="I37" s="234">
        <v>537100</v>
      </c>
      <c r="J37" s="234">
        <v>537100</v>
      </c>
      <c r="K37" s="200"/>
      <c r="L37" s="194" t="s">
        <v>319</v>
      </c>
    </row>
    <row r="38" spans="1:12" hidden="1">
      <c r="A38" s="222"/>
      <c r="B38" s="235"/>
      <c r="C38" s="200"/>
      <c r="D38" s="207"/>
      <c r="E38" s="234"/>
      <c r="F38" s="234"/>
      <c r="G38" s="234"/>
      <c r="H38" s="234"/>
      <c r="I38" s="234"/>
      <c r="J38" s="234"/>
      <c r="K38" s="200"/>
    </row>
    <row r="39" spans="1:12" hidden="1">
      <c r="A39" s="222"/>
      <c r="B39" s="236" t="s">
        <v>320</v>
      </c>
      <c r="C39" s="200" t="s">
        <v>321</v>
      </c>
      <c r="D39" s="207">
        <v>153000</v>
      </c>
      <c r="E39" s="211">
        <v>402000</v>
      </c>
      <c r="F39" s="211">
        <v>440000</v>
      </c>
      <c r="G39" s="211">
        <v>440000</v>
      </c>
      <c r="H39" s="211">
        <v>1040000</v>
      </c>
      <c r="I39" s="211">
        <v>1040000</v>
      </c>
      <c r="J39" s="211">
        <v>1040000</v>
      </c>
      <c r="K39" s="200"/>
      <c r="L39" s="237" t="s">
        <v>322</v>
      </c>
    </row>
    <row r="40" spans="1:12" ht="32.25" hidden="1" customHeight="1">
      <c r="A40" s="222"/>
      <c r="B40" s="238" t="s">
        <v>323</v>
      </c>
      <c r="C40" s="200" t="s">
        <v>321</v>
      </c>
      <c r="D40" s="207">
        <v>0</v>
      </c>
      <c r="E40" s="211">
        <v>305000</v>
      </c>
      <c r="F40" s="211">
        <v>1481000</v>
      </c>
      <c r="G40" s="211">
        <v>2000000</v>
      </c>
      <c r="H40" s="211">
        <v>2000000</v>
      </c>
      <c r="I40" s="211">
        <v>2000000</v>
      </c>
      <c r="J40" s="211">
        <v>2000000</v>
      </c>
      <c r="K40" s="200"/>
      <c r="L40" s="208" t="s">
        <v>324</v>
      </c>
    </row>
    <row r="41" spans="1:12" hidden="1">
      <c r="A41" s="222"/>
      <c r="B41" s="239"/>
      <c r="C41" s="200"/>
      <c r="D41" s="207"/>
      <c r="E41" s="211"/>
      <c r="F41" s="211"/>
      <c r="G41" s="211"/>
      <c r="H41" s="211"/>
      <c r="I41" s="211"/>
      <c r="J41" s="211"/>
      <c r="K41" s="200"/>
      <c r="L41" s="237"/>
    </row>
    <row r="42" spans="1:12" ht="15.75" hidden="1">
      <c r="A42" s="222"/>
      <c r="B42" s="240" t="s">
        <v>309</v>
      </c>
      <c r="C42" s="200"/>
      <c r="D42" s="232">
        <f>SUM(D31:D41)</f>
        <v>885000</v>
      </c>
      <c r="E42" s="232">
        <f t="shared" ref="E42:J42" si="1">SUM(E31:E41)</f>
        <v>1925600</v>
      </c>
      <c r="F42" s="232">
        <f t="shared" si="1"/>
        <v>3248100</v>
      </c>
      <c r="G42" s="232">
        <f t="shared" si="1"/>
        <v>3818100</v>
      </c>
      <c r="H42" s="232">
        <f t="shared" si="1"/>
        <v>4418100</v>
      </c>
      <c r="I42" s="232">
        <f t="shared" si="1"/>
        <v>4418100</v>
      </c>
      <c r="J42" s="232">
        <f t="shared" si="1"/>
        <v>4418100</v>
      </c>
      <c r="K42" s="200"/>
      <c r="L42" s="237"/>
    </row>
    <row r="43" spans="1:12" hidden="1">
      <c r="A43" s="241"/>
      <c r="B43" s="202"/>
      <c r="C43" s="200"/>
      <c r="D43" s="207"/>
      <c r="F43" s="211"/>
      <c r="G43" s="211"/>
      <c r="H43" s="211"/>
      <c r="I43" s="211"/>
      <c r="K43" s="200"/>
    </row>
    <row r="44" spans="1:12" ht="16.5" hidden="1" thickBot="1">
      <c r="A44" s="222"/>
      <c r="B44" s="242" t="s">
        <v>325</v>
      </c>
      <c r="C44" s="200"/>
      <c r="D44" s="243">
        <f>SUM(D29+D42)</f>
        <v>1095000</v>
      </c>
      <c r="E44" s="243">
        <f t="shared" ref="E44:J44" si="2">SUM(E29+E42)</f>
        <v>2195600</v>
      </c>
      <c r="F44" s="243">
        <f t="shared" si="2"/>
        <v>3602600</v>
      </c>
      <c r="G44" s="243">
        <f t="shared" si="2"/>
        <v>4149100</v>
      </c>
      <c r="H44" s="243">
        <f t="shared" si="2"/>
        <v>4990100</v>
      </c>
      <c r="I44" s="243">
        <f t="shared" si="2"/>
        <v>4991100</v>
      </c>
      <c r="J44" s="243">
        <f t="shared" si="2"/>
        <v>4991100</v>
      </c>
      <c r="K44" s="200"/>
      <c r="L44" s="208"/>
    </row>
    <row r="45" spans="1:12" ht="15.75" hidden="1">
      <c r="A45" s="222"/>
      <c r="B45" s="242"/>
      <c r="C45" s="200"/>
      <c r="D45" s="207"/>
      <c r="E45" s="207"/>
      <c r="F45" s="207"/>
      <c r="G45" s="207"/>
      <c r="H45" s="207"/>
      <c r="I45" s="207"/>
      <c r="J45" s="207"/>
      <c r="K45" s="200"/>
      <c r="L45" s="208"/>
    </row>
    <row r="46" spans="1:12" ht="15.75" hidden="1">
      <c r="A46" s="222"/>
      <c r="B46" s="244"/>
      <c r="C46" s="200"/>
      <c r="D46" s="207"/>
      <c r="E46" s="207"/>
      <c r="F46" s="207"/>
      <c r="G46" s="207"/>
      <c r="H46" s="207"/>
      <c r="I46" s="207"/>
      <c r="J46" s="207"/>
      <c r="K46" s="200"/>
      <c r="L46" s="208"/>
    </row>
    <row r="47" spans="1:12" hidden="1">
      <c r="A47" s="222"/>
      <c r="C47" s="200"/>
      <c r="D47" s="207"/>
      <c r="E47" s="211"/>
      <c r="F47" s="211"/>
      <c r="G47" s="211"/>
      <c r="H47" s="211"/>
      <c r="I47" s="211"/>
      <c r="J47" s="207"/>
      <c r="K47" s="200"/>
      <c r="L47" s="200"/>
    </row>
    <row r="48" spans="1:12" ht="47.25">
      <c r="A48" s="222"/>
      <c r="B48" s="245" t="s">
        <v>326</v>
      </c>
      <c r="C48" s="200"/>
      <c r="D48" s="225" t="s">
        <v>293</v>
      </c>
      <c r="E48" s="226" t="s">
        <v>294</v>
      </c>
      <c r="F48" s="226" t="s">
        <v>295</v>
      </c>
      <c r="G48" s="226" t="s">
        <v>296</v>
      </c>
      <c r="H48" s="226" t="s">
        <v>297</v>
      </c>
      <c r="I48" s="226" t="s">
        <v>298</v>
      </c>
      <c r="J48" s="227" t="s">
        <v>299</v>
      </c>
      <c r="K48" s="200"/>
      <c r="L48" s="200"/>
    </row>
    <row r="49" spans="1:12">
      <c r="A49" s="222"/>
      <c r="B49" s="239" t="s">
        <v>327</v>
      </c>
      <c r="C49" s="200" t="s">
        <v>321</v>
      </c>
      <c r="D49" s="246">
        <v>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  <c r="K49" s="200"/>
      <c r="L49" s="200" t="s">
        <v>328</v>
      </c>
    </row>
    <row r="50" spans="1:12">
      <c r="A50" s="222"/>
      <c r="B50" s="239" t="s">
        <v>329</v>
      </c>
      <c r="C50" s="200" t="s">
        <v>321</v>
      </c>
      <c r="D50" s="246">
        <v>0</v>
      </c>
      <c r="E50" s="247">
        <v>0</v>
      </c>
      <c r="F50" s="247">
        <v>0</v>
      </c>
      <c r="G50" s="247">
        <v>0</v>
      </c>
      <c r="H50" s="247">
        <v>0</v>
      </c>
      <c r="I50" s="247">
        <v>0</v>
      </c>
      <c r="J50" s="247">
        <v>0</v>
      </c>
      <c r="K50" s="200"/>
      <c r="L50" s="200" t="s">
        <v>330</v>
      </c>
    </row>
    <row r="51" spans="1:12">
      <c r="A51" s="222"/>
      <c r="B51" s="239" t="s">
        <v>331</v>
      </c>
      <c r="C51" s="200" t="s">
        <v>321</v>
      </c>
      <c r="D51" s="246">
        <v>0</v>
      </c>
      <c r="E51" s="247">
        <v>0</v>
      </c>
      <c r="F51" s="247">
        <v>0</v>
      </c>
      <c r="G51" s="247">
        <v>0</v>
      </c>
      <c r="H51" s="247">
        <v>0</v>
      </c>
      <c r="I51" s="247">
        <v>0</v>
      </c>
      <c r="J51" s="247">
        <v>0</v>
      </c>
      <c r="K51" s="200"/>
      <c r="L51" s="208" t="s">
        <v>332</v>
      </c>
    </row>
    <row r="52" spans="1:12">
      <c r="A52" s="222"/>
      <c r="B52" s="239" t="s">
        <v>333</v>
      </c>
      <c r="C52" s="200" t="s">
        <v>321</v>
      </c>
      <c r="D52" s="246">
        <v>0</v>
      </c>
      <c r="E52" s="247">
        <v>0</v>
      </c>
      <c r="F52" s="247">
        <v>0</v>
      </c>
      <c r="G52" s="247">
        <v>0</v>
      </c>
      <c r="H52" s="247">
        <v>0</v>
      </c>
      <c r="I52" s="247">
        <v>0</v>
      </c>
      <c r="J52" s="247">
        <v>0</v>
      </c>
      <c r="K52" s="200"/>
      <c r="L52" s="200" t="s">
        <v>334</v>
      </c>
    </row>
    <row r="53" spans="1:12">
      <c r="A53" s="222"/>
      <c r="B53" s="239" t="s">
        <v>335</v>
      </c>
      <c r="C53" s="200" t="s">
        <v>321</v>
      </c>
      <c r="D53" s="246">
        <v>0</v>
      </c>
      <c r="E53" s="247">
        <v>0</v>
      </c>
      <c r="F53" s="247">
        <v>0</v>
      </c>
      <c r="G53" s="247">
        <v>0</v>
      </c>
      <c r="H53" s="247">
        <v>0</v>
      </c>
      <c r="I53" s="247">
        <v>0</v>
      </c>
      <c r="J53" s="247">
        <v>0</v>
      </c>
      <c r="K53" s="200"/>
      <c r="L53" s="200" t="s">
        <v>336</v>
      </c>
    </row>
    <row r="54" spans="1:12">
      <c r="A54" s="222"/>
      <c r="B54" s="239" t="s">
        <v>337</v>
      </c>
      <c r="C54" s="200" t="s">
        <v>321</v>
      </c>
      <c r="D54" s="246">
        <v>0</v>
      </c>
      <c r="E54" s="247">
        <v>0</v>
      </c>
      <c r="F54" s="247">
        <v>0</v>
      </c>
      <c r="G54" s="247">
        <v>0</v>
      </c>
      <c r="H54" s="247">
        <v>0</v>
      </c>
      <c r="I54" s="247">
        <v>0</v>
      </c>
      <c r="J54" s="247">
        <v>0</v>
      </c>
      <c r="K54" s="200"/>
      <c r="L54" s="200" t="s">
        <v>338</v>
      </c>
    </row>
    <row r="55" spans="1:12">
      <c r="A55" s="222"/>
      <c r="B55" s="239" t="s">
        <v>339</v>
      </c>
      <c r="C55" s="200" t="s">
        <v>321</v>
      </c>
      <c r="D55" s="248">
        <v>0</v>
      </c>
      <c r="E55" s="249">
        <v>0</v>
      </c>
      <c r="F55" s="249">
        <v>0</v>
      </c>
      <c r="G55" s="249">
        <v>0</v>
      </c>
      <c r="H55" s="249">
        <v>0</v>
      </c>
      <c r="I55" s="249">
        <v>0</v>
      </c>
      <c r="J55" s="249">
        <v>0</v>
      </c>
      <c r="K55" s="200"/>
      <c r="L55" s="200" t="s">
        <v>340</v>
      </c>
    </row>
    <row r="56" spans="1:12">
      <c r="B56" s="250" t="s">
        <v>341</v>
      </c>
      <c r="C56" s="200" t="s">
        <v>321</v>
      </c>
      <c r="D56" s="246">
        <v>0</v>
      </c>
      <c r="E56" s="247">
        <v>0</v>
      </c>
      <c r="F56" s="247">
        <v>0</v>
      </c>
      <c r="G56" s="247">
        <v>0</v>
      </c>
      <c r="H56" s="247">
        <v>0</v>
      </c>
      <c r="I56" s="247">
        <v>0</v>
      </c>
      <c r="J56" s="247">
        <v>0</v>
      </c>
      <c r="K56" s="200"/>
      <c r="L56" s="200" t="s">
        <v>342</v>
      </c>
    </row>
    <row r="57" spans="1:12">
      <c r="B57" s="250" t="s">
        <v>343</v>
      </c>
      <c r="C57" s="200" t="s">
        <v>321</v>
      </c>
      <c r="D57" s="246">
        <v>0</v>
      </c>
      <c r="E57" s="247">
        <v>0</v>
      </c>
      <c r="F57" s="247">
        <v>0</v>
      </c>
      <c r="G57" s="247">
        <v>0</v>
      </c>
      <c r="H57" s="247">
        <v>0</v>
      </c>
      <c r="I57" s="247">
        <v>0</v>
      </c>
      <c r="J57" s="247">
        <v>0</v>
      </c>
      <c r="K57" s="200"/>
      <c r="L57" s="194" t="s">
        <v>344</v>
      </c>
    </row>
    <row r="58" spans="1:12">
      <c r="A58" s="222"/>
      <c r="B58" s="239" t="s">
        <v>345</v>
      </c>
      <c r="C58" s="200" t="s">
        <v>321</v>
      </c>
      <c r="D58" s="251">
        <v>0</v>
      </c>
      <c r="E58" s="252">
        <v>0</v>
      </c>
      <c r="F58" s="252">
        <v>0</v>
      </c>
      <c r="G58" s="252">
        <v>0</v>
      </c>
      <c r="H58" s="252">
        <v>0</v>
      </c>
      <c r="I58" s="252">
        <v>0</v>
      </c>
      <c r="J58" s="252">
        <v>0</v>
      </c>
      <c r="L58" s="194" t="s">
        <v>346</v>
      </c>
    </row>
    <row r="59" spans="1:12">
      <c r="A59" s="222"/>
      <c r="B59" s="253" t="s">
        <v>347</v>
      </c>
      <c r="C59" s="200" t="s">
        <v>321</v>
      </c>
      <c r="D59" s="246">
        <v>0</v>
      </c>
      <c r="E59" s="247">
        <v>0</v>
      </c>
      <c r="F59" s="247">
        <v>0</v>
      </c>
      <c r="G59" s="247">
        <v>0</v>
      </c>
      <c r="H59" s="247">
        <v>0</v>
      </c>
      <c r="I59" s="247">
        <v>0</v>
      </c>
      <c r="J59" s="247">
        <v>0</v>
      </c>
      <c r="K59" s="200"/>
      <c r="L59" s="194" t="s">
        <v>348</v>
      </c>
    </row>
    <row r="60" spans="1:12">
      <c r="A60" s="222"/>
      <c r="B60" s="253" t="s">
        <v>349</v>
      </c>
      <c r="C60" s="200" t="s">
        <v>321</v>
      </c>
      <c r="D60" s="246">
        <v>0</v>
      </c>
      <c r="E60" s="247">
        <v>0</v>
      </c>
      <c r="F60" s="247">
        <v>0</v>
      </c>
      <c r="G60" s="247">
        <v>0</v>
      </c>
      <c r="H60" s="247">
        <v>0</v>
      </c>
      <c r="I60" s="247">
        <v>0</v>
      </c>
      <c r="J60" s="247">
        <v>0</v>
      </c>
      <c r="K60" s="200"/>
      <c r="L60" s="194" t="s">
        <v>348</v>
      </c>
    </row>
    <row r="61" spans="1:12">
      <c r="A61" s="222"/>
      <c r="B61" s="239" t="s">
        <v>350</v>
      </c>
      <c r="C61" s="200" t="s">
        <v>321</v>
      </c>
      <c r="D61" s="246">
        <v>0</v>
      </c>
      <c r="E61" s="247">
        <v>0</v>
      </c>
      <c r="F61" s="247">
        <v>0</v>
      </c>
      <c r="G61" s="247">
        <v>0</v>
      </c>
      <c r="H61" s="247">
        <v>0</v>
      </c>
      <c r="I61" s="247">
        <v>0</v>
      </c>
      <c r="J61" s="247">
        <v>0</v>
      </c>
      <c r="K61" s="200"/>
      <c r="L61" s="200" t="s">
        <v>351</v>
      </c>
    </row>
    <row r="62" spans="1:12">
      <c r="A62" s="222"/>
      <c r="B62" s="239" t="s">
        <v>352</v>
      </c>
      <c r="C62" s="200" t="s">
        <v>321</v>
      </c>
      <c r="D62" s="246">
        <v>0</v>
      </c>
      <c r="E62" s="247">
        <v>0</v>
      </c>
      <c r="F62" s="247">
        <v>0</v>
      </c>
      <c r="G62" s="247">
        <v>0</v>
      </c>
      <c r="H62" s="247">
        <v>0</v>
      </c>
      <c r="I62" s="247">
        <v>0</v>
      </c>
      <c r="J62" s="247">
        <v>0</v>
      </c>
      <c r="K62" s="200"/>
      <c r="L62" s="200" t="s">
        <v>353</v>
      </c>
    </row>
    <row r="63" spans="1:12">
      <c r="A63" s="222"/>
      <c r="B63" s="239" t="s">
        <v>354</v>
      </c>
      <c r="C63" s="200" t="s">
        <v>321</v>
      </c>
      <c r="D63" s="246">
        <v>0</v>
      </c>
      <c r="E63" s="247">
        <v>402000</v>
      </c>
      <c r="F63" s="247">
        <v>0</v>
      </c>
      <c r="G63" s="247">
        <v>0</v>
      </c>
      <c r="H63" s="247">
        <v>0</v>
      </c>
      <c r="I63" s="247">
        <v>0</v>
      </c>
      <c r="J63" s="247">
        <v>0</v>
      </c>
      <c r="K63" s="200"/>
      <c r="L63" s="200" t="s">
        <v>355</v>
      </c>
    </row>
    <row r="64" spans="1:12">
      <c r="A64" s="222"/>
      <c r="B64" s="239" t="s">
        <v>356</v>
      </c>
      <c r="C64" s="200" t="s">
        <v>321</v>
      </c>
      <c r="D64" s="246">
        <v>0</v>
      </c>
      <c r="E64" s="247">
        <v>305000</v>
      </c>
      <c r="F64" s="247">
        <v>0</v>
      </c>
      <c r="G64" s="247">
        <v>0</v>
      </c>
      <c r="H64" s="247">
        <v>0</v>
      </c>
      <c r="I64" s="247">
        <v>0</v>
      </c>
      <c r="J64" s="246">
        <v>0</v>
      </c>
      <c r="K64" s="200"/>
      <c r="L64" s="200" t="s">
        <v>357</v>
      </c>
    </row>
    <row r="65" spans="1:19" ht="15.75">
      <c r="A65" s="222"/>
      <c r="B65" s="240" t="s">
        <v>309</v>
      </c>
      <c r="C65" s="200"/>
      <c r="D65" s="254">
        <f t="shared" ref="D65:J65" si="3">SUM(D49:D64)</f>
        <v>0</v>
      </c>
      <c r="E65" s="254">
        <f t="shared" si="3"/>
        <v>707000</v>
      </c>
      <c r="F65" s="254">
        <f t="shared" si="3"/>
        <v>0</v>
      </c>
      <c r="G65" s="254">
        <f t="shared" si="3"/>
        <v>0</v>
      </c>
      <c r="H65" s="254">
        <f t="shared" si="3"/>
        <v>0</v>
      </c>
      <c r="I65" s="254">
        <f t="shared" si="3"/>
        <v>0</v>
      </c>
      <c r="J65" s="254">
        <f t="shared" si="3"/>
        <v>0</v>
      </c>
      <c r="K65" s="200"/>
      <c r="L65" s="200"/>
    </row>
    <row r="66" spans="1:19" ht="15.75">
      <c r="A66" s="222"/>
      <c r="B66" s="244"/>
      <c r="C66" s="200"/>
      <c r="D66" s="207"/>
      <c r="E66" s="207"/>
      <c r="F66" s="207"/>
      <c r="G66" s="207"/>
      <c r="H66" s="207"/>
      <c r="I66" s="207"/>
      <c r="J66" s="207"/>
      <c r="K66" s="200"/>
      <c r="L66" s="200"/>
    </row>
    <row r="67" spans="1:19" ht="15.75">
      <c r="A67" s="222"/>
      <c r="B67" s="255" t="s">
        <v>358</v>
      </c>
      <c r="C67" s="200"/>
      <c r="D67" s="207"/>
      <c r="E67" s="211"/>
      <c r="F67" s="211"/>
      <c r="G67" s="211"/>
      <c r="H67" s="211"/>
      <c r="I67" s="211"/>
      <c r="J67" s="207"/>
      <c r="K67" s="200"/>
      <c r="L67" s="200"/>
    </row>
    <row r="68" spans="1:19">
      <c r="A68" s="222"/>
      <c r="B68" s="233" t="s">
        <v>359</v>
      </c>
      <c r="C68" s="200" t="s">
        <v>301</v>
      </c>
      <c r="D68" s="207">
        <v>25000</v>
      </c>
      <c r="E68" s="211">
        <v>35000</v>
      </c>
      <c r="F68" s="211">
        <v>35000</v>
      </c>
      <c r="G68" s="211">
        <v>35000</v>
      </c>
      <c r="H68" s="211">
        <v>50000</v>
      </c>
      <c r="I68" s="211">
        <v>50000</v>
      </c>
      <c r="J68" s="207">
        <v>50000</v>
      </c>
      <c r="K68" s="200"/>
      <c r="L68" s="200" t="s">
        <v>360</v>
      </c>
    </row>
    <row r="69" spans="1:19">
      <c r="A69" s="222"/>
      <c r="B69" s="233" t="s">
        <v>361</v>
      </c>
      <c r="C69" s="200" t="s">
        <v>301</v>
      </c>
      <c r="D69" s="207">
        <v>0</v>
      </c>
      <c r="E69" s="211">
        <v>0</v>
      </c>
      <c r="F69" s="211">
        <v>0</v>
      </c>
      <c r="G69" s="211">
        <v>0</v>
      </c>
      <c r="H69" s="211">
        <v>20000</v>
      </c>
      <c r="I69" s="211">
        <v>20000</v>
      </c>
      <c r="J69" s="211">
        <v>20000</v>
      </c>
      <c r="K69" s="200"/>
      <c r="L69" s="200" t="s">
        <v>115</v>
      </c>
    </row>
    <row r="70" spans="1:19">
      <c r="A70" s="222"/>
      <c r="B70" s="233" t="s">
        <v>362</v>
      </c>
      <c r="C70" s="200" t="s">
        <v>301</v>
      </c>
      <c r="D70" s="207">
        <v>0</v>
      </c>
      <c r="E70" s="211">
        <v>107000</v>
      </c>
      <c r="F70" s="211">
        <v>107000</v>
      </c>
      <c r="G70" s="211">
        <v>107000</v>
      </c>
      <c r="H70" s="211">
        <v>200000</v>
      </c>
      <c r="I70" s="211">
        <v>200000</v>
      </c>
      <c r="J70" s="211">
        <v>200000</v>
      </c>
      <c r="K70" s="200"/>
      <c r="L70" s="194" t="s">
        <v>363</v>
      </c>
    </row>
    <row r="71" spans="1:19">
      <c r="A71" s="222"/>
      <c r="B71" s="233"/>
      <c r="C71" s="200"/>
      <c r="D71" s="207"/>
      <c r="E71" s="211"/>
      <c r="F71" s="211"/>
      <c r="G71" s="211"/>
      <c r="H71" s="211"/>
      <c r="I71" s="211"/>
      <c r="J71" s="207"/>
      <c r="K71" s="200"/>
      <c r="L71" s="200"/>
    </row>
    <row r="72" spans="1:19">
      <c r="A72" s="222"/>
      <c r="B72" s="233"/>
      <c r="C72" s="200"/>
      <c r="D72" s="207"/>
      <c r="E72" s="211"/>
      <c r="F72" s="211"/>
      <c r="G72" s="211"/>
      <c r="H72" s="211"/>
      <c r="I72" s="211"/>
      <c r="J72" s="207"/>
      <c r="K72" s="200"/>
      <c r="L72" s="200"/>
    </row>
    <row r="73" spans="1:19" ht="15.75" customHeight="1">
      <c r="A73" s="222"/>
      <c r="B73" s="256" t="s">
        <v>309</v>
      </c>
      <c r="C73" s="200"/>
      <c r="D73" s="232">
        <f>SUM(D68:D72)</f>
        <v>25000</v>
      </c>
      <c r="E73" s="232">
        <f t="shared" ref="E73:J73" si="4">SUM(E68:E72)</f>
        <v>142000</v>
      </c>
      <c r="F73" s="232">
        <f t="shared" si="4"/>
        <v>142000</v>
      </c>
      <c r="G73" s="232">
        <f t="shared" si="4"/>
        <v>142000</v>
      </c>
      <c r="H73" s="232">
        <f t="shared" si="4"/>
        <v>270000</v>
      </c>
      <c r="I73" s="232">
        <f t="shared" si="4"/>
        <v>270000</v>
      </c>
      <c r="J73" s="232">
        <f t="shared" si="4"/>
        <v>270000</v>
      </c>
      <c r="K73" s="200"/>
      <c r="L73" s="200"/>
    </row>
    <row r="74" spans="1:19" ht="17.25" customHeight="1">
      <c r="A74" s="222"/>
      <c r="C74" s="200"/>
      <c r="D74" s="200"/>
      <c r="E74" s="202"/>
      <c r="F74" s="202"/>
      <c r="G74" s="202"/>
      <c r="H74" s="202"/>
      <c r="I74" s="202"/>
      <c r="J74" s="200"/>
      <c r="K74" s="200"/>
      <c r="L74" s="200"/>
      <c r="M74" s="200"/>
      <c r="N74" s="200"/>
      <c r="O74" s="200"/>
      <c r="P74" s="200"/>
      <c r="Q74" s="200"/>
      <c r="R74" s="200"/>
      <c r="S74" s="200"/>
    </row>
    <row r="75" spans="1:19" ht="15" customHeight="1">
      <c r="A75" s="222"/>
      <c r="B75" s="200"/>
      <c r="C75" s="200"/>
      <c r="D75" s="207"/>
      <c r="E75" s="211"/>
      <c r="F75" s="211"/>
      <c r="G75" s="211"/>
      <c r="H75" s="211"/>
      <c r="I75" s="211"/>
      <c r="J75" s="207"/>
      <c r="K75" s="200"/>
      <c r="L75" s="200"/>
    </row>
    <row r="76" spans="1:19" ht="23.25" customHeight="1">
      <c r="A76" s="222"/>
      <c r="B76" s="257" t="s">
        <v>364</v>
      </c>
      <c r="C76" s="200"/>
      <c r="D76" s="207"/>
      <c r="E76" s="211"/>
      <c r="F76" s="211"/>
      <c r="G76" s="211"/>
      <c r="H76" s="211"/>
      <c r="I76" s="211"/>
      <c r="J76" s="207"/>
      <c r="K76" s="200"/>
      <c r="L76" s="200"/>
    </row>
    <row r="77" spans="1:19">
      <c r="A77" s="222"/>
      <c r="B77" s="200"/>
      <c r="C77" s="200"/>
      <c r="D77" s="207"/>
      <c r="E77" s="211"/>
      <c r="F77" s="211"/>
      <c r="G77" s="211"/>
      <c r="H77" s="211"/>
      <c r="I77" s="211"/>
      <c r="J77" s="207"/>
      <c r="K77" s="200"/>
      <c r="L77" s="200"/>
    </row>
    <row r="78" spans="1:19">
      <c r="A78" s="222"/>
      <c r="B78" s="233" t="s">
        <v>365</v>
      </c>
      <c r="C78" s="200" t="s">
        <v>313</v>
      </c>
      <c r="D78" s="207">
        <v>46000</v>
      </c>
      <c r="E78" s="202">
        <v>0</v>
      </c>
      <c r="F78" s="211"/>
      <c r="G78" s="211"/>
      <c r="H78" s="211"/>
      <c r="I78" s="211"/>
      <c r="J78" s="200"/>
      <c r="K78" s="200"/>
      <c r="L78" s="200" t="s">
        <v>366</v>
      </c>
    </row>
    <row r="79" spans="1:19">
      <c r="A79" s="222"/>
      <c r="B79" s="233" t="s">
        <v>44</v>
      </c>
      <c r="C79" s="200" t="s">
        <v>313</v>
      </c>
      <c r="D79" s="200">
        <v>0</v>
      </c>
      <c r="E79" s="211">
        <v>100000</v>
      </c>
      <c r="F79" s="211"/>
      <c r="G79" s="211"/>
      <c r="H79" s="211"/>
      <c r="I79" s="211"/>
      <c r="J79" s="200"/>
      <c r="K79" s="200"/>
      <c r="L79" s="200" t="s">
        <v>366</v>
      </c>
    </row>
    <row r="80" spans="1:19">
      <c r="A80" s="222"/>
      <c r="B80" s="233" t="s">
        <v>367</v>
      </c>
      <c r="C80" s="200" t="s">
        <v>313</v>
      </c>
      <c r="D80" s="207">
        <v>0</v>
      </c>
      <c r="E80" s="211">
        <v>107000</v>
      </c>
      <c r="F80" s="211">
        <v>112500</v>
      </c>
      <c r="G80" s="211">
        <v>0</v>
      </c>
      <c r="H80" s="211">
        <v>0</v>
      </c>
      <c r="I80" s="211">
        <v>0</v>
      </c>
      <c r="J80" s="207">
        <v>0</v>
      </c>
      <c r="K80" s="200"/>
      <c r="L80" s="200" t="s">
        <v>368</v>
      </c>
    </row>
    <row r="81" spans="1:12">
      <c r="A81" s="222"/>
      <c r="B81" s="233" t="s">
        <v>369</v>
      </c>
      <c r="C81" s="200" t="s">
        <v>313</v>
      </c>
      <c r="D81" s="207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200000</v>
      </c>
      <c r="J81" s="207">
        <v>200000</v>
      </c>
      <c r="K81" s="200"/>
      <c r="L81" s="200" t="s">
        <v>370</v>
      </c>
    </row>
    <row r="82" spans="1:12" ht="15.75">
      <c r="A82" s="222"/>
      <c r="B82" s="258" t="s">
        <v>371</v>
      </c>
      <c r="C82" s="259"/>
      <c r="D82" s="232">
        <f>SUM(D78:D81)</f>
        <v>46000</v>
      </c>
      <c r="E82" s="232">
        <f t="shared" ref="E82:J82" si="5">SUM(E78:E81)</f>
        <v>207000</v>
      </c>
      <c r="F82" s="232">
        <f t="shared" si="5"/>
        <v>112500</v>
      </c>
      <c r="G82" s="232">
        <f t="shared" si="5"/>
        <v>0</v>
      </c>
      <c r="H82" s="232">
        <f t="shared" si="5"/>
        <v>0</v>
      </c>
      <c r="I82" s="232">
        <f t="shared" si="5"/>
        <v>200000</v>
      </c>
      <c r="J82" s="232">
        <f t="shared" si="5"/>
        <v>200000</v>
      </c>
      <c r="K82" s="200"/>
      <c r="L82" s="200"/>
    </row>
    <row r="83" spans="1:12">
      <c r="A83" s="222"/>
      <c r="B83" s="200"/>
      <c r="C83" s="259"/>
      <c r="D83" s="200"/>
      <c r="E83" s="202"/>
      <c r="F83" s="202"/>
      <c r="G83" s="202"/>
      <c r="H83" s="202"/>
      <c r="I83" s="202"/>
      <c r="J83" s="200"/>
      <c r="K83" s="200"/>
      <c r="L83" s="200"/>
    </row>
    <row r="84" spans="1:12" ht="15.75">
      <c r="A84" s="222"/>
      <c r="B84" s="228"/>
      <c r="C84" s="259"/>
      <c r="D84" s="200"/>
      <c r="E84" s="202"/>
      <c r="F84" s="202"/>
      <c r="G84" s="202"/>
      <c r="H84" s="202"/>
      <c r="I84" s="202"/>
      <c r="J84" s="200"/>
      <c r="K84" s="200"/>
    </row>
    <row r="85" spans="1:12" ht="15.75">
      <c r="A85" s="222"/>
      <c r="B85" s="260" t="s">
        <v>372</v>
      </c>
      <c r="C85" s="259"/>
      <c r="D85" s="207">
        <f>D39+D40</f>
        <v>153000</v>
      </c>
      <c r="E85" s="207">
        <f t="shared" ref="E85:J85" si="6">E39+E40</f>
        <v>707000</v>
      </c>
      <c r="F85" s="207">
        <f t="shared" si="6"/>
        <v>1921000</v>
      </c>
      <c r="G85" s="207">
        <f t="shared" si="6"/>
        <v>2440000</v>
      </c>
      <c r="H85" s="207">
        <f t="shared" si="6"/>
        <v>3040000</v>
      </c>
      <c r="I85" s="207">
        <f t="shared" si="6"/>
        <v>3040000</v>
      </c>
      <c r="J85" s="207">
        <f t="shared" si="6"/>
        <v>3040000</v>
      </c>
      <c r="K85" s="200"/>
    </row>
    <row r="86" spans="1:12" ht="15.75">
      <c r="A86" s="222"/>
      <c r="B86" s="261" t="s">
        <v>373</v>
      </c>
      <c r="C86" s="259"/>
      <c r="D86" s="207">
        <f t="shared" ref="D86:J86" si="7">D29+D31+D32+D33+D73</f>
        <v>260000</v>
      </c>
      <c r="E86" s="207">
        <f t="shared" si="7"/>
        <v>600000</v>
      </c>
      <c r="F86" s="207">
        <f t="shared" si="7"/>
        <v>538500</v>
      </c>
      <c r="G86" s="207">
        <f t="shared" si="7"/>
        <v>566000</v>
      </c>
      <c r="H86" s="207">
        <f t="shared" si="7"/>
        <v>935000</v>
      </c>
      <c r="I86" s="207">
        <f t="shared" si="7"/>
        <v>936000</v>
      </c>
      <c r="J86" s="207">
        <f t="shared" si="7"/>
        <v>936000</v>
      </c>
      <c r="K86" s="200"/>
    </row>
    <row r="87" spans="1:12" ht="15.75">
      <c r="A87" s="222"/>
      <c r="B87" s="261" t="s">
        <v>374</v>
      </c>
      <c r="C87" s="259"/>
      <c r="D87" s="207">
        <f t="shared" ref="D87:J87" si="8">D34+D35+D36+D37+D82</f>
        <v>753000</v>
      </c>
      <c r="E87" s="207">
        <f t="shared" si="8"/>
        <v>1237600</v>
      </c>
      <c r="F87" s="207">
        <f t="shared" si="8"/>
        <v>1397600</v>
      </c>
      <c r="G87" s="207">
        <f t="shared" si="8"/>
        <v>1285100</v>
      </c>
      <c r="H87" s="207">
        <f t="shared" si="8"/>
        <v>1285100</v>
      </c>
      <c r="I87" s="207">
        <f t="shared" si="8"/>
        <v>1485100</v>
      </c>
      <c r="J87" s="207">
        <f t="shared" si="8"/>
        <v>1485100</v>
      </c>
      <c r="K87" s="200"/>
    </row>
    <row r="88" spans="1:12" ht="16.5" thickBot="1">
      <c r="A88" s="222"/>
      <c r="B88" s="258" t="s">
        <v>375</v>
      </c>
      <c r="C88" s="259"/>
      <c r="D88" s="243">
        <f>SUM(D85:D87)</f>
        <v>1166000</v>
      </c>
      <c r="E88" s="243">
        <f t="shared" ref="E88:J88" si="9">SUM(E85:E87)</f>
        <v>2544600</v>
      </c>
      <c r="F88" s="243">
        <f t="shared" si="9"/>
        <v>3857100</v>
      </c>
      <c r="G88" s="243">
        <f t="shared" si="9"/>
        <v>4291100</v>
      </c>
      <c r="H88" s="243">
        <f t="shared" si="9"/>
        <v>5260100</v>
      </c>
      <c r="I88" s="243">
        <f t="shared" si="9"/>
        <v>5461100</v>
      </c>
      <c r="J88" s="243">
        <f t="shared" si="9"/>
        <v>5461100</v>
      </c>
      <c r="K88" s="200"/>
    </row>
    <row r="89" spans="1:12">
      <c r="A89" s="222"/>
    </row>
    <row r="90" spans="1:12">
      <c r="A90" s="222"/>
    </row>
    <row r="91" spans="1:12" ht="15.75" thickBot="1">
      <c r="A91" s="222"/>
      <c r="B91" s="263"/>
      <c r="C91" s="216"/>
      <c r="D91" s="217"/>
      <c r="E91" s="218"/>
      <c r="F91" s="218"/>
      <c r="G91" s="218"/>
      <c r="H91" s="218"/>
      <c r="I91" s="218"/>
      <c r="J91" s="217"/>
      <c r="K91" s="217"/>
      <c r="L91" s="217"/>
    </row>
    <row r="94" spans="1:12" ht="15.75">
      <c r="B94" s="264" t="s">
        <v>376</v>
      </c>
    </row>
  </sheetData>
  <mergeCells count="2">
    <mergeCell ref="B7:E7"/>
    <mergeCell ref="B17:C17"/>
  </mergeCells>
  <pageMargins left="0.35433070866141736" right="0.15748031496062992" top="0.74803149606299213" bottom="1.1417322834645669" header="0.31496062992125984" footer="0.31496062992125984"/>
  <pageSetup paperSize="9" scale="55" fitToHeight="2" orientation="landscape" r:id="rId1"/>
  <headerFooter>
    <oddHeader>&amp;R&amp;"Arial,Bold"&amp;12APPENDIX C [2]</oddHeader>
    <oddFooter xml:space="preserve">&amp;C&amp;"Arial,Bold"&amp;12&amp;A&amp;R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4"/>
  <sheetViews>
    <sheetView topLeftCell="A51" workbookViewId="0">
      <selection activeCell="B36" sqref="B36"/>
    </sheetView>
  </sheetViews>
  <sheetFormatPr defaultRowHeight="15"/>
  <cols>
    <col min="1" max="1" width="2" style="194" customWidth="1"/>
    <col min="2" max="2" width="68.7109375" style="194" bestFit="1" customWidth="1"/>
    <col min="3" max="3" width="16" style="262" bestFit="1" customWidth="1"/>
    <col min="4" max="4" width="11.42578125" style="194" bestFit="1" customWidth="1"/>
    <col min="5" max="5" width="11.42578125" style="195" bestFit="1" customWidth="1"/>
    <col min="6" max="6" width="11.5703125" style="195" customWidth="1"/>
    <col min="7" max="9" width="11.42578125" style="195" bestFit="1" customWidth="1"/>
    <col min="10" max="10" width="12.28515625" style="194" customWidth="1"/>
    <col min="11" max="11" width="1.42578125" style="194" customWidth="1"/>
    <col min="12" max="12" width="74.140625" style="194" customWidth="1"/>
    <col min="13" max="256" width="9.140625" style="194"/>
    <col min="257" max="257" width="2" style="194" customWidth="1"/>
    <col min="258" max="258" width="68.7109375" style="194" bestFit="1" customWidth="1"/>
    <col min="259" max="259" width="16" style="194" bestFit="1" customWidth="1"/>
    <col min="260" max="261" width="11.42578125" style="194" bestFit="1" customWidth="1"/>
    <col min="262" max="262" width="11.5703125" style="194" customWidth="1"/>
    <col min="263" max="265" width="11.42578125" style="194" bestFit="1" customWidth="1"/>
    <col min="266" max="266" width="12.28515625" style="194" customWidth="1"/>
    <col min="267" max="267" width="1.42578125" style="194" customWidth="1"/>
    <col min="268" max="268" width="74.140625" style="194" customWidth="1"/>
    <col min="269" max="512" width="9.140625" style="194"/>
    <col min="513" max="513" width="2" style="194" customWidth="1"/>
    <col min="514" max="514" width="68.7109375" style="194" bestFit="1" customWidth="1"/>
    <col min="515" max="515" width="16" style="194" bestFit="1" customWidth="1"/>
    <col min="516" max="517" width="11.42578125" style="194" bestFit="1" customWidth="1"/>
    <col min="518" max="518" width="11.5703125" style="194" customWidth="1"/>
    <col min="519" max="521" width="11.42578125" style="194" bestFit="1" customWidth="1"/>
    <col min="522" max="522" width="12.28515625" style="194" customWidth="1"/>
    <col min="523" max="523" width="1.42578125" style="194" customWidth="1"/>
    <col min="524" max="524" width="74.140625" style="194" customWidth="1"/>
    <col min="525" max="768" width="9.140625" style="194"/>
    <col min="769" max="769" width="2" style="194" customWidth="1"/>
    <col min="770" max="770" width="68.7109375" style="194" bestFit="1" customWidth="1"/>
    <col min="771" max="771" width="16" style="194" bestFit="1" customWidth="1"/>
    <col min="772" max="773" width="11.42578125" style="194" bestFit="1" customWidth="1"/>
    <col min="774" max="774" width="11.5703125" style="194" customWidth="1"/>
    <col min="775" max="777" width="11.42578125" style="194" bestFit="1" customWidth="1"/>
    <col min="778" max="778" width="12.28515625" style="194" customWidth="1"/>
    <col min="779" max="779" width="1.42578125" style="194" customWidth="1"/>
    <col min="780" max="780" width="74.140625" style="194" customWidth="1"/>
    <col min="781" max="1024" width="9.140625" style="194"/>
    <col min="1025" max="1025" width="2" style="194" customWidth="1"/>
    <col min="1026" max="1026" width="68.7109375" style="194" bestFit="1" customWidth="1"/>
    <col min="1027" max="1027" width="16" style="194" bestFit="1" customWidth="1"/>
    <col min="1028" max="1029" width="11.42578125" style="194" bestFit="1" customWidth="1"/>
    <col min="1030" max="1030" width="11.5703125" style="194" customWidth="1"/>
    <col min="1031" max="1033" width="11.42578125" style="194" bestFit="1" customWidth="1"/>
    <col min="1034" max="1034" width="12.28515625" style="194" customWidth="1"/>
    <col min="1035" max="1035" width="1.42578125" style="194" customWidth="1"/>
    <col min="1036" max="1036" width="74.140625" style="194" customWidth="1"/>
    <col min="1037" max="1280" width="9.140625" style="194"/>
    <col min="1281" max="1281" width="2" style="194" customWidth="1"/>
    <col min="1282" max="1282" width="68.7109375" style="194" bestFit="1" customWidth="1"/>
    <col min="1283" max="1283" width="16" style="194" bestFit="1" customWidth="1"/>
    <col min="1284" max="1285" width="11.42578125" style="194" bestFit="1" customWidth="1"/>
    <col min="1286" max="1286" width="11.5703125" style="194" customWidth="1"/>
    <col min="1287" max="1289" width="11.42578125" style="194" bestFit="1" customWidth="1"/>
    <col min="1290" max="1290" width="12.28515625" style="194" customWidth="1"/>
    <col min="1291" max="1291" width="1.42578125" style="194" customWidth="1"/>
    <col min="1292" max="1292" width="74.140625" style="194" customWidth="1"/>
    <col min="1293" max="1536" width="9.140625" style="194"/>
    <col min="1537" max="1537" width="2" style="194" customWidth="1"/>
    <col min="1538" max="1538" width="68.7109375" style="194" bestFit="1" customWidth="1"/>
    <col min="1539" max="1539" width="16" style="194" bestFit="1" customWidth="1"/>
    <col min="1540" max="1541" width="11.42578125" style="194" bestFit="1" customWidth="1"/>
    <col min="1542" max="1542" width="11.5703125" style="194" customWidth="1"/>
    <col min="1543" max="1545" width="11.42578125" style="194" bestFit="1" customWidth="1"/>
    <col min="1546" max="1546" width="12.28515625" style="194" customWidth="1"/>
    <col min="1547" max="1547" width="1.42578125" style="194" customWidth="1"/>
    <col min="1548" max="1548" width="74.140625" style="194" customWidth="1"/>
    <col min="1549" max="1792" width="9.140625" style="194"/>
    <col min="1793" max="1793" width="2" style="194" customWidth="1"/>
    <col min="1794" max="1794" width="68.7109375" style="194" bestFit="1" customWidth="1"/>
    <col min="1795" max="1795" width="16" style="194" bestFit="1" customWidth="1"/>
    <col min="1796" max="1797" width="11.42578125" style="194" bestFit="1" customWidth="1"/>
    <col min="1798" max="1798" width="11.5703125" style="194" customWidth="1"/>
    <col min="1799" max="1801" width="11.42578125" style="194" bestFit="1" customWidth="1"/>
    <col min="1802" max="1802" width="12.28515625" style="194" customWidth="1"/>
    <col min="1803" max="1803" width="1.42578125" style="194" customWidth="1"/>
    <col min="1804" max="1804" width="74.140625" style="194" customWidth="1"/>
    <col min="1805" max="2048" width="9.140625" style="194"/>
    <col min="2049" max="2049" width="2" style="194" customWidth="1"/>
    <col min="2050" max="2050" width="68.7109375" style="194" bestFit="1" customWidth="1"/>
    <col min="2051" max="2051" width="16" style="194" bestFit="1" customWidth="1"/>
    <col min="2052" max="2053" width="11.42578125" style="194" bestFit="1" customWidth="1"/>
    <col min="2054" max="2054" width="11.5703125" style="194" customWidth="1"/>
    <col min="2055" max="2057" width="11.42578125" style="194" bestFit="1" customWidth="1"/>
    <col min="2058" max="2058" width="12.28515625" style="194" customWidth="1"/>
    <col min="2059" max="2059" width="1.42578125" style="194" customWidth="1"/>
    <col min="2060" max="2060" width="74.140625" style="194" customWidth="1"/>
    <col min="2061" max="2304" width="9.140625" style="194"/>
    <col min="2305" max="2305" width="2" style="194" customWidth="1"/>
    <col min="2306" max="2306" width="68.7109375" style="194" bestFit="1" customWidth="1"/>
    <col min="2307" max="2307" width="16" style="194" bestFit="1" customWidth="1"/>
    <col min="2308" max="2309" width="11.42578125" style="194" bestFit="1" customWidth="1"/>
    <col min="2310" max="2310" width="11.5703125" style="194" customWidth="1"/>
    <col min="2311" max="2313" width="11.42578125" style="194" bestFit="1" customWidth="1"/>
    <col min="2314" max="2314" width="12.28515625" style="194" customWidth="1"/>
    <col min="2315" max="2315" width="1.42578125" style="194" customWidth="1"/>
    <col min="2316" max="2316" width="74.140625" style="194" customWidth="1"/>
    <col min="2317" max="2560" width="9.140625" style="194"/>
    <col min="2561" max="2561" width="2" style="194" customWidth="1"/>
    <col min="2562" max="2562" width="68.7109375" style="194" bestFit="1" customWidth="1"/>
    <col min="2563" max="2563" width="16" style="194" bestFit="1" customWidth="1"/>
    <col min="2564" max="2565" width="11.42578125" style="194" bestFit="1" customWidth="1"/>
    <col min="2566" max="2566" width="11.5703125" style="194" customWidth="1"/>
    <col min="2567" max="2569" width="11.42578125" style="194" bestFit="1" customWidth="1"/>
    <col min="2570" max="2570" width="12.28515625" style="194" customWidth="1"/>
    <col min="2571" max="2571" width="1.42578125" style="194" customWidth="1"/>
    <col min="2572" max="2572" width="74.140625" style="194" customWidth="1"/>
    <col min="2573" max="2816" width="9.140625" style="194"/>
    <col min="2817" max="2817" width="2" style="194" customWidth="1"/>
    <col min="2818" max="2818" width="68.7109375" style="194" bestFit="1" customWidth="1"/>
    <col min="2819" max="2819" width="16" style="194" bestFit="1" customWidth="1"/>
    <col min="2820" max="2821" width="11.42578125" style="194" bestFit="1" customWidth="1"/>
    <col min="2822" max="2822" width="11.5703125" style="194" customWidth="1"/>
    <col min="2823" max="2825" width="11.42578125" style="194" bestFit="1" customWidth="1"/>
    <col min="2826" max="2826" width="12.28515625" style="194" customWidth="1"/>
    <col min="2827" max="2827" width="1.42578125" style="194" customWidth="1"/>
    <col min="2828" max="2828" width="74.140625" style="194" customWidth="1"/>
    <col min="2829" max="3072" width="9.140625" style="194"/>
    <col min="3073" max="3073" width="2" style="194" customWidth="1"/>
    <col min="3074" max="3074" width="68.7109375" style="194" bestFit="1" customWidth="1"/>
    <col min="3075" max="3075" width="16" style="194" bestFit="1" customWidth="1"/>
    <col min="3076" max="3077" width="11.42578125" style="194" bestFit="1" customWidth="1"/>
    <col min="3078" max="3078" width="11.5703125" style="194" customWidth="1"/>
    <col min="3079" max="3081" width="11.42578125" style="194" bestFit="1" customWidth="1"/>
    <col min="3082" max="3082" width="12.28515625" style="194" customWidth="1"/>
    <col min="3083" max="3083" width="1.42578125" style="194" customWidth="1"/>
    <col min="3084" max="3084" width="74.140625" style="194" customWidth="1"/>
    <col min="3085" max="3328" width="9.140625" style="194"/>
    <col min="3329" max="3329" width="2" style="194" customWidth="1"/>
    <col min="3330" max="3330" width="68.7109375" style="194" bestFit="1" customWidth="1"/>
    <col min="3331" max="3331" width="16" style="194" bestFit="1" customWidth="1"/>
    <col min="3332" max="3333" width="11.42578125" style="194" bestFit="1" customWidth="1"/>
    <col min="3334" max="3334" width="11.5703125" style="194" customWidth="1"/>
    <col min="3335" max="3337" width="11.42578125" style="194" bestFit="1" customWidth="1"/>
    <col min="3338" max="3338" width="12.28515625" style="194" customWidth="1"/>
    <col min="3339" max="3339" width="1.42578125" style="194" customWidth="1"/>
    <col min="3340" max="3340" width="74.140625" style="194" customWidth="1"/>
    <col min="3341" max="3584" width="9.140625" style="194"/>
    <col min="3585" max="3585" width="2" style="194" customWidth="1"/>
    <col min="3586" max="3586" width="68.7109375" style="194" bestFit="1" customWidth="1"/>
    <col min="3587" max="3587" width="16" style="194" bestFit="1" customWidth="1"/>
    <col min="3588" max="3589" width="11.42578125" style="194" bestFit="1" customWidth="1"/>
    <col min="3590" max="3590" width="11.5703125" style="194" customWidth="1"/>
    <col min="3591" max="3593" width="11.42578125" style="194" bestFit="1" customWidth="1"/>
    <col min="3594" max="3594" width="12.28515625" style="194" customWidth="1"/>
    <col min="3595" max="3595" width="1.42578125" style="194" customWidth="1"/>
    <col min="3596" max="3596" width="74.140625" style="194" customWidth="1"/>
    <col min="3597" max="3840" width="9.140625" style="194"/>
    <col min="3841" max="3841" width="2" style="194" customWidth="1"/>
    <col min="3842" max="3842" width="68.7109375" style="194" bestFit="1" customWidth="1"/>
    <col min="3843" max="3843" width="16" style="194" bestFit="1" customWidth="1"/>
    <col min="3844" max="3845" width="11.42578125" style="194" bestFit="1" customWidth="1"/>
    <col min="3846" max="3846" width="11.5703125" style="194" customWidth="1"/>
    <col min="3847" max="3849" width="11.42578125" style="194" bestFit="1" customWidth="1"/>
    <col min="3850" max="3850" width="12.28515625" style="194" customWidth="1"/>
    <col min="3851" max="3851" width="1.42578125" style="194" customWidth="1"/>
    <col min="3852" max="3852" width="74.140625" style="194" customWidth="1"/>
    <col min="3853" max="4096" width="9.140625" style="194"/>
    <col min="4097" max="4097" width="2" style="194" customWidth="1"/>
    <col min="4098" max="4098" width="68.7109375" style="194" bestFit="1" customWidth="1"/>
    <col min="4099" max="4099" width="16" style="194" bestFit="1" customWidth="1"/>
    <col min="4100" max="4101" width="11.42578125" style="194" bestFit="1" customWidth="1"/>
    <col min="4102" max="4102" width="11.5703125" style="194" customWidth="1"/>
    <col min="4103" max="4105" width="11.42578125" style="194" bestFit="1" customWidth="1"/>
    <col min="4106" max="4106" width="12.28515625" style="194" customWidth="1"/>
    <col min="4107" max="4107" width="1.42578125" style="194" customWidth="1"/>
    <col min="4108" max="4108" width="74.140625" style="194" customWidth="1"/>
    <col min="4109" max="4352" width="9.140625" style="194"/>
    <col min="4353" max="4353" width="2" style="194" customWidth="1"/>
    <col min="4354" max="4354" width="68.7109375" style="194" bestFit="1" customWidth="1"/>
    <col min="4355" max="4355" width="16" style="194" bestFit="1" customWidth="1"/>
    <col min="4356" max="4357" width="11.42578125" style="194" bestFit="1" customWidth="1"/>
    <col min="4358" max="4358" width="11.5703125" style="194" customWidth="1"/>
    <col min="4359" max="4361" width="11.42578125" style="194" bestFit="1" customWidth="1"/>
    <col min="4362" max="4362" width="12.28515625" style="194" customWidth="1"/>
    <col min="4363" max="4363" width="1.42578125" style="194" customWidth="1"/>
    <col min="4364" max="4364" width="74.140625" style="194" customWidth="1"/>
    <col min="4365" max="4608" width="9.140625" style="194"/>
    <col min="4609" max="4609" width="2" style="194" customWidth="1"/>
    <col min="4610" max="4610" width="68.7109375" style="194" bestFit="1" customWidth="1"/>
    <col min="4611" max="4611" width="16" style="194" bestFit="1" customWidth="1"/>
    <col min="4612" max="4613" width="11.42578125" style="194" bestFit="1" customWidth="1"/>
    <col min="4614" max="4614" width="11.5703125" style="194" customWidth="1"/>
    <col min="4615" max="4617" width="11.42578125" style="194" bestFit="1" customWidth="1"/>
    <col min="4618" max="4618" width="12.28515625" style="194" customWidth="1"/>
    <col min="4619" max="4619" width="1.42578125" style="194" customWidth="1"/>
    <col min="4620" max="4620" width="74.140625" style="194" customWidth="1"/>
    <col min="4621" max="4864" width="9.140625" style="194"/>
    <col min="4865" max="4865" width="2" style="194" customWidth="1"/>
    <col min="4866" max="4866" width="68.7109375" style="194" bestFit="1" customWidth="1"/>
    <col min="4867" max="4867" width="16" style="194" bestFit="1" customWidth="1"/>
    <col min="4868" max="4869" width="11.42578125" style="194" bestFit="1" customWidth="1"/>
    <col min="4870" max="4870" width="11.5703125" style="194" customWidth="1"/>
    <col min="4871" max="4873" width="11.42578125" style="194" bestFit="1" customWidth="1"/>
    <col min="4874" max="4874" width="12.28515625" style="194" customWidth="1"/>
    <col min="4875" max="4875" width="1.42578125" style="194" customWidth="1"/>
    <col min="4876" max="4876" width="74.140625" style="194" customWidth="1"/>
    <col min="4877" max="5120" width="9.140625" style="194"/>
    <col min="5121" max="5121" width="2" style="194" customWidth="1"/>
    <col min="5122" max="5122" width="68.7109375" style="194" bestFit="1" customWidth="1"/>
    <col min="5123" max="5123" width="16" style="194" bestFit="1" customWidth="1"/>
    <col min="5124" max="5125" width="11.42578125" style="194" bestFit="1" customWidth="1"/>
    <col min="5126" max="5126" width="11.5703125" style="194" customWidth="1"/>
    <col min="5127" max="5129" width="11.42578125" style="194" bestFit="1" customWidth="1"/>
    <col min="5130" max="5130" width="12.28515625" style="194" customWidth="1"/>
    <col min="5131" max="5131" width="1.42578125" style="194" customWidth="1"/>
    <col min="5132" max="5132" width="74.140625" style="194" customWidth="1"/>
    <col min="5133" max="5376" width="9.140625" style="194"/>
    <col min="5377" max="5377" width="2" style="194" customWidth="1"/>
    <col min="5378" max="5378" width="68.7109375" style="194" bestFit="1" customWidth="1"/>
    <col min="5379" max="5379" width="16" style="194" bestFit="1" customWidth="1"/>
    <col min="5380" max="5381" width="11.42578125" style="194" bestFit="1" customWidth="1"/>
    <col min="5382" max="5382" width="11.5703125" style="194" customWidth="1"/>
    <col min="5383" max="5385" width="11.42578125" style="194" bestFit="1" customWidth="1"/>
    <col min="5386" max="5386" width="12.28515625" style="194" customWidth="1"/>
    <col min="5387" max="5387" width="1.42578125" style="194" customWidth="1"/>
    <col min="5388" max="5388" width="74.140625" style="194" customWidth="1"/>
    <col min="5389" max="5632" width="9.140625" style="194"/>
    <col min="5633" max="5633" width="2" style="194" customWidth="1"/>
    <col min="5634" max="5634" width="68.7109375" style="194" bestFit="1" customWidth="1"/>
    <col min="5635" max="5635" width="16" style="194" bestFit="1" customWidth="1"/>
    <col min="5636" max="5637" width="11.42578125" style="194" bestFit="1" customWidth="1"/>
    <col min="5638" max="5638" width="11.5703125" style="194" customWidth="1"/>
    <col min="5639" max="5641" width="11.42578125" style="194" bestFit="1" customWidth="1"/>
    <col min="5642" max="5642" width="12.28515625" style="194" customWidth="1"/>
    <col min="5643" max="5643" width="1.42578125" style="194" customWidth="1"/>
    <col min="5644" max="5644" width="74.140625" style="194" customWidth="1"/>
    <col min="5645" max="5888" width="9.140625" style="194"/>
    <col min="5889" max="5889" width="2" style="194" customWidth="1"/>
    <col min="5890" max="5890" width="68.7109375" style="194" bestFit="1" customWidth="1"/>
    <col min="5891" max="5891" width="16" style="194" bestFit="1" customWidth="1"/>
    <col min="5892" max="5893" width="11.42578125" style="194" bestFit="1" customWidth="1"/>
    <col min="5894" max="5894" width="11.5703125" style="194" customWidth="1"/>
    <col min="5895" max="5897" width="11.42578125" style="194" bestFit="1" customWidth="1"/>
    <col min="5898" max="5898" width="12.28515625" style="194" customWidth="1"/>
    <col min="5899" max="5899" width="1.42578125" style="194" customWidth="1"/>
    <col min="5900" max="5900" width="74.140625" style="194" customWidth="1"/>
    <col min="5901" max="6144" width="9.140625" style="194"/>
    <col min="6145" max="6145" width="2" style="194" customWidth="1"/>
    <col min="6146" max="6146" width="68.7109375" style="194" bestFit="1" customWidth="1"/>
    <col min="6147" max="6147" width="16" style="194" bestFit="1" customWidth="1"/>
    <col min="6148" max="6149" width="11.42578125" style="194" bestFit="1" customWidth="1"/>
    <col min="6150" max="6150" width="11.5703125" style="194" customWidth="1"/>
    <col min="6151" max="6153" width="11.42578125" style="194" bestFit="1" customWidth="1"/>
    <col min="6154" max="6154" width="12.28515625" style="194" customWidth="1"/>
    <col min="6155" max="6155" width="1.42578125" style="194" customWidth="1"/>
    <col min="6156" max="6156" width="74.140625" style="194" customWidth="1"/>
    <col min="6157" max="6400" width="9.140625" style="194"/>
    <col min="6401" max="6401" width="2" style="194" customWidth="1"/>
    <col min="6402" max="6402" width="68.7109375" style="194" bestFit="1" customWidth="1"/>
    <col min="6403" max="6403" width="16" style="194" bestFit="1" customWidth="1"/>
    <col min="6404" max="6405" width="11.42578125" style="194" bestFit="1" customWidth="1"/>
    <col min="6406" max="6406" width="11.5703125" style="194" customWidth="1"/>
    <col min="6407" max="6409" width="11.42578125" style="194" bestFit="1" customWidth="1"/>
    <col min="6410" max="6410" width="12.28515625" style="194" customWidth="1"/>
    <col min="6411" max="6411" width="1.42578125" style="194" customWidth="1"/>
    <col min="6412" max="6412" width="74.140625" style="194" customWidth="1"/>
    <col min="6413" max="6656" width="9.140625" style="194"/>
    <col min="6657" max="6657" width="2" style="194" customWidth="1"/>
    <col min="6658" max="6658" width="68.7109375" style="194" bestFit="1" customWidth="1"/>
    <col min="6659" max="6659" width="16" style="194" bestFit="1" customWidth="1"/>
    <col min="6660" max="6661" width="11.42578125" style="194" bestFit="1" customWidth="1"/>
    <col min="6662" max="6662" width="11.5703125" style="194" customWidth="1"/>
    <col min="6663" max="6665" width="11.42578125" style="194" bestFit="1" customWidth="1"/>
    <col min="6666" max="6666" width="12.28515625" style="194" customWidth="1"/>
    <col min="6667" max="6667" width="1.42578125" style="194" customWidth="1"/>
    <col min="6668" max="6668" width="74.140625" style="194" customWidth="1"/>
    <col min="6669" max="6912" width="9.140625" style="194"/>
    <col min="6913" max="6913" width="2" style="194" customWidth="1"/>
    <col min="6914" max="6914" width="68.7109375" style="194" bestFit="1" customWidth="1"/>
    <col min="6915" max="6915" width="16" style="194" bestFit="1" customWidth="1"/>
    <col min="6916" max="6917" width="11.42578125" style="194" bestFit="1" customWidth="1"/>
    <col min="6918" max="6918" width="11.5703125" style="194" customWidth="1"/>
    <col min="6919" max="6921" width="11.42578125" style="194" bestFit="1" customWidth="1"/>
    <col min="6922" max="6922" width="12.28515625" style="194" customWidth="1"/>
    <col min="6923" max="6923" width="1.42578125" style="194" customWidth="1"/>
    <col min="6924" max="6924" width="74.140625" style="194" customWidth="1"/>
    <col min="6925" max="7168" width="9.140625" style="194"/>
    <col min="7169" max="7169" width="2" style="194" customWidth="1"/>
    <col min="7170" max="7170" width="68.7109375" style="194" bestFit="1" customWidth="1"/>
    <col min="7171" max="7171" width="16" style="194" bestFit="1" customWidth="1"/>
    <col min="7172" max="7173" width="11.42578125" style="194" bestFit="1" customWidth="1"/>
    <col min="7174" max="7174" width="11.5703125" style="194" customWidth="1"/>
    <col min="7175" max="7177" width="11.42578125" style="194" bestFit="1" customWidth="1"/>
    <col min="7178" max="7178" width="12.28515625" style="194" customWidth="1"/>
    <col min="7179" max="7179" width="1.42578125" style="194" customWidth="1"/>
    <col min="7180" max="7180" width="74.140625" style="194" customWidth="1"/>
    <col min="7181" max="7424" width="9.140625" style="194"/>
    <col min="7425" max="7425" width="2" style="194" customWidth="1"/>
    <col min="7426" max="7426" width="68.7109375" style="194" bestFit="1" customWidth="1"/>
    <col min="7427" max="7427" width="16" style="194" bestFit="1" customWidth="1"/>
    <col min="7428" max="7429" width="11.42578125" style="194" bestFit="1" customWidth="1"/>
    <col min="7430" max="7430" width="11.5703125" style="194" customWidth="1"/>
    <col min="7431" max="7433" width="11.42578125" style="194" bestFit="1" customWidth="1"/>
    <col min="7434" max="7434" width="12.28515625" style="194" customWidth="1"/>
    <col min="7435" max="7435" width="1.42578125" style="194" customWidth="1"/>
    <col min="7436" max="7436" width="74.140625" style="194" customWidth="1"/>
    <col min="7437" max="7680" width="9.140625" style="194"/>
    <col min="7681" max="7681" width="2" style="194" customWidth="1"/>
    <col min="7682" max="7682" width="68.7109375" style="194" bestFit="1" customWidth="1"/>
    <col min="7683" max="7683" width="16" style="194" bestFit="1" customWidth="1"/>
    <col min="7684" max="7685" width="11.42578125" style="194" bestFit="1" customWidth="1"/>
    <col min="7686" max="7686" width="11.5703125" style="194" customWidth="1"/>
    <col min="7687" max="7689" width="11.42578125" style="194" bestFit="1" customWidth="1"/>
    <col min="7690" max="7690" width="12.28515625" style="194" customWidth="1"/>
    <col min="7691" max="7691" width="1.42578125" style="194" customWidth="1"/>
    <col min="7692" max="7692" width="74.140625" style="194" customWidth="1"/>
    <col min="7693" max="7936" width="9.140625" style="194"/>
    <col min="7937" max="7937" width="2" style="194" customWidth="1"/>
    <col min="7938" max="7938" width="68.7109375" style="194" bestFit="1" customWidth="1"/>
    <col min="7939" max="7939" width="16" style="194" bestFit="1" customWidth="1"/>
    <col min="7940" max="7941" width="11.42578125" style="194" bestFit="1" customWidth="1"/>
    <col min="7942" max="7942" width="11.5703125" style="194" customWidth="1"/>
    <col min="7943" max="7945" width="11.42578125" style="194" bestFit="1" customWidth="1"/>
    <col min="7946" max="7946" width="12.28515625" style="194" customWidth="1"/>
    <col min="7947" max="7947" width="1.42578125" style="194" customWidth="1"/>
    <col min="7948" max="7948" width="74.140625" style="194" customWidth="1"/>
    <col min="7949" max="8192" width="9.140625" style="194"/>
    <col min="8193" max="8193" width="2" style="194" customWidth="1"/>
    <col min="8194" max="8194" width="68.7109375" style="194" bestFit="1" customWidth="1"/>
    <col min="8195" max="8195" width="16" style="194" bestFit="1" customWidth="1"/>
    <col min="8196" max="8197" width="11.42578125" style="194" bestFit="1" customWidth="1"/>
    <col min="8198" max="8198" width="11.5703125" style="194" customWidth="1"/>
    <col min="8199" max="8201" width="11.42578125" style="194" bestFit="1" customWidth="1"/>
    <col min="8202" max="8202" width="12.28515625" style="194" customWidth="1"/>
    <col min="8203" max="8203" width="1.42578125" style="194" customWidth="1"/>
    <col min="8204" max="8204" width="74.140625" style="194" customWidth="1"/>
    <col min="8205" max="8448" width="9.140625" style="194"/>
    <col min="8449" max="8449" width="2" style="194" customWidth="1"/>
    <col min="8450" max="8450" width="68.7109375" style="194" bestFit="1" customWidth="1"/>
    <col min="8451" max="8451" width="16" style="194" bestFit="1" customWidth="1"/>
    <col min="8452" max="8453" width="11.42578125" style="194" bestFit="1" customWidth="1"/>
    <col min="8454" max="8454" width="11.5703125" style="194" customWidth="1"/>
    <col min="8455" max="8457" width="11.42578125" style="194" bestFit="1" customWidth="1"/>
    <col min="8458" max="8458" width="12.28515625" style="194" customWidth="1"/>
    <col min="8459" max="8459" width="1.42578125" style="194" customWidth="1"/>
    <col min="8460" max="8460" width="74.140625" style="194" customWidth="1"/>
    <col min="8461" max="8704" width="9.140625" style="194"/>
    <col min="8705" max="8705" width="2" style="194" customWidth="1"/>
    <col min="8706" max="8706" width="68.7109375" style="194" bestFit="1" customWidth="1"/>
    <col min="8707" max="8707" width="16" style="194" bestFit="1" customWidth="1"/>
    <col min="8708" max="8709" width="11.42578125" style="194" bestFit="1" customWidth="1"/>
    <col min="8710" max="8710" width="11.5703125" style="194" customWidth="1"/>
    <col min="8711" max="8713" width="11.42578125" style="194" bestFit="1" customWidth="1"/>
    <col min="8714" max="8714" width="12.28515625" style="194" customWidth="1"/>
    <col min="8715" max="8715" width="1.42578125" style="194" customWidth="1"/>
    <col min="8716" max="8716" width="74.140625" style="194" customWidth="1"/>
    <col min="8717" max="8960" width="9.140625" style="194"/>
    <col min="8961" max="8961" width="2" style="194" customWidth="1"/>
    <col min="8962" max="8962" width="68.7109375" style="194" bestFit="1" customWidth="1"/>
    <col min="8963" max="8963" width="16" style="194" bestFit="1" customWidth="1"/>
    <col min="8964" max="8965" width="11.42578125" style="194" bestFit="1" customWidth="1"/>
    <col min="8966" max="8966" width="11.5703125" style="194" customWidth="1"/>
    <col min="8967" max="8969" width="11.42578125" style="194" bestFit="1" customWidth="1"/>
    <col min="8970" max="8970" width="12.28515625" style="194" customWidth="1"/>
    <col min="8971" max="8971" width="1.42578125" style="194" customWidth="1"/>
    <col min="8972" max="8972" width="74.140625" style="194" customWidth="1"/>
    <col min="8973" max="9216" width="9.140625" style="194"/>
    <col min="9217" max="9217" width="2" style="194" customWidth="1"/>
    <col min="9218" max="9218" width="68.7109375" style="194" bestFit="1" customWidth="1"/>
    <col min="9219" max="9219" width="16" style="194" bestFit="1" customWidth="1"/>
    <col min="9220" max="9221" width="11.42578125" style="194" bestFit="1" customWidth="1"/>
    <col min="9222" max="9222" width="11.5703125" style="194" customWidth="1"/>
    <col min="9223" max="9225" width="11.42578125" style="194" bestFit="1" customWidth="1"/>
    <col min="9226" max="9226" width="12.28515625" style="194" customWidth="1"/>
    <col min="9227" max="9227" width="1.42578125" style="194" customWidth="1"/>
    <col min="9228" max="9228" width="74.140625" style="194" customWidth="1"/>
    <col min="9229" max="9472" width="9.140625" style="194"/>
    <col min="9473" max="9473" width="2" style="194" customWidth="1"/>
    <col min="9474" max="9474" width="68.7109375" style="194" bestFit="1" customWidth="1"/>
    <col min="9475" max="9475" width="16" style="194" bestFit="1" customWidth="1"/>
    <col min="9476" max="9477" width="11.42578125" style="194" bestFit="1" customWidth="1"/>
    <col min="9478" max="9478" width="11.5703125" style="194" customWidth="1"/>
    <col min="9479" max="9481" width="11.42578125" style="194" bestFit="1" customWidth="1"/>
    <col min="9482" max="9482" width="12.28515625" style="194" customWidth="1"/>
    <col min="9483" max="9483" width="1.42578125" style="194" customWidth="1"/>
    <col min="9484" max="9484" width="74.140625" style="194" customWidth="1"/>
    <col min="9485" max="9728" width="9.140625" style="194"/>
    <col min="9729" max="9729" width="2" style="194" customWidth="1"/>
    <col min="9730" max="9730" width="68.7109375" style="194" bestFit="1" customWidth="1"/>
    <col min="9731" max="9731" width="16" style="194" bestFit="1" customWidth="1"/>
    <col min="9732" max="9733" width="11.42578125" style="194" bestFit="1" customWidth="1"/>
    <col min="9734" max="9734" width="11.5703125" style="194" customWidth="1"/>
    <col min="9735" max="9737" width="11.42578125" style="194" bestFit="1" customWidth="1"/>
    <col min="9738" max="9738" width="12.28515625" style="194" customWidth="1"/>
    <col min="9739" max="9739" width="1.42578125" style="194" customWidth="1"/>
    <col min="9740" max="9740" width="74.140625" style="194" customWidth="1"/>
    <col min="9741" max="9984" width="9.140625" style="194"/>
    <col min="9985" max="9985" width="2" style="194" customWidth="1"/>
    <col min="9986" max="9986" width="68.7109375" style="194" bestFit="1" customWidth="1"/>
    <col min="9987" max="9987" width="16" style="194" bestFit="1" customWidth="1"/>
    <col min="9988" max="9989" width="11.42578125" style="194" bestFit="1" customWidth="1"/>
    <col min="9990" max="9990" width="11.5703125" style="194" customWidth="1"/>
    <col min="9991" max="9993" width="11.42578125" style="194" bestFit="1" customWidth="1"/>
    <col min="9994" max="9994" width="12.28515625" style="194" customWidth="1"/>
    <col min="9995" max="9995" width="1.42578125" style="194" customWidth="1"/>
    <col min="9996" max="9996" width="74.140625" style="194" customWidth="1"/>
    <col min="9997" max="10240" width="9.140625" style="194"/>
    <col min="10241" max="10241" width="2" style="194" customWidth="1"/>
    <col min="10242" max="10242" width="68.7109375" style="194" bestFit="1" customWidth="1"/>
    <col min="10243" max="10243" width="16" style="194" bestFit="1" customWidth="1"/>
    <col min="10244" max="10245" width="11.42578125" style="194" bestFit="1" customWidth="1"/>
    <col min="10246" max="10246" width="11.5703125" style="194" customWidth="1"/>
    <col min="10247" max="10249" width="11.42578125" style="194" bestFit="1" customWidth="1"/>
    <col min="10250" max="10250" width="12.28515625" style="194" customWidth="1"/>
    <col min="10251" max="10251" width="1.42578125" style="194" customWidth="1"/>
    <col min="10252" max="10252" width="74.140625" style="194" customWidth="1"/>
    <col min="10253" max="10496" width="9.140625" style="194"/>
    <col min="10497" max="10497" width="2" style="194" customWidth="1"/>
    <col min="10498" max="10498" width="68.7109375" style="194" bestFit="1" customWidth="1"/>
    <col min="10499" max="10499" width="16" style="194" bestFit="1" customWidth="1"/>
    <col min="10500" max="10501" width="11.42578125" style="194" bestFit="1" customWidth="1"/>
    <col min="10502" max="10502" width="11.5703125" style="194" customWidth="1"/>
    <col min="10503" max="10505" width="11.42578125" style="194" bestFit="1" customWidth="1"/>
    <col min="10506" max="10506" width="12.28515625" style="194" customWidth="1"/>
    <col min="10507" max="10507" width="1.42578125" style="194" customWidth="1"/>
    <col min="10508" max="10508" width="74.140625" style="194" customWidth="1"/>
    <col min="10509" max="10752" width="9.140625" style="194"/>
    <col min="10753" max="10753" width="2" style="194" customWidth="1"/>
    <col min="10754" max="10754" width="68.7109375" style="194" bestFit="1" customWidth="1"/>
    <col min="10755" max="10755" width="16" style="194" bestFit="1" customWidth="1"/>
    <col min="10756" max="10757" width="11.42578125" style="194" bestFit="1" customWidth="1"/>
    <col min="10758" max="10758" width="11.5703125" style="194" customWidth="1"/>
    <col min="10759" max="10761" width="11.42578125" style="194" bestFit="1" customWidth="1"/>
    <col min="10762" max="10762" width="12.28515625" style="194" customWidth="1"/>
    <col min="10763" max="10763" width="1.42578125" style="194" customWidth="1"/>
    <col min="10764" max="10764" width="74.140625" style="194" customWidth="1"/>
    <col min="10765" max="11008" width="9.140625" style="194"/>
    <col min="11009" max="11009" width="2" style="194" customWidth="1"/>
    <col min="11010" max="11010" width="68.7109375" style="194" bestFit="1" customWidth="1"/>
    <col min="11011" max="11011" width="16" style="194" bestFit="1" customWidth="1"/>
    <col min="11012" max="11013" width="11.42578125" style="194" bestFit="1" customWidth="1"/>
    <col min="11014" max="11014" width="11.5703125" style="194" customWidth="1"/>
    <col min="11015" max="11017" width="11.42578125" style="194" bestFit="1" customWidth="1"/>
    <col min="11018" max="11018" width="12.28515625" style="194" customWidth="1"/>
    <col min="11019" max="11019" width="1.42578125" style="194" customWidth="1"/>
    <col min="11020" max="11020" width="74.140625" style="194" customWidth="1"/>
    <col min="11021" max="11264" width="9.140625" style="194"/>
    <col min="11265" max="11265" width="2" style="194" customWidth="1"/>
    <col min="11266" max="11266" width="68.7109375" style="194" bestFit="1" customWidth="1"/>
    <col min="11267" max="11267" width="16" style="194" bestFit="1" customWidth="1"/>
    <col min="11268" max="11269" width="11.42578125" style="194" bestFit="1" customWidth="1"/>
    <col min="11270" max="11270" width="11.5703125" style="194" customWidth="1"/>
    <col min="11271" max="11273" width="11.42578125" style="194" bestFit="1" customWidth="1"/>
    <col min="11274" max="11274" width="12.28515625" style="194" customWidth="1"/>
    <col min="11275" max="11275" width="1.42578125" style="194" customWidth="1"/>
    <col min="11276" max="11276" width="74.140625" style="194" customWidth="1"/>
    <col min="11277" max="11520" width="9.140625" style="194"/>
    <col min="11521" max="11521" width="2" style="194" customWidth="1"/>
    <col min="11522" max="11522" width="68.7109375" style="194" bestFit="1" customWidth="1"/>
    <col min="11523" max="11523" width="16" style="194" bestFit="1" customWidth="1"/>
    <col min="11524" max="11525" width="11.42578125" style="194" bestFit="1" customWidth="1"/>
    <col min="11526" max="11526" width="11.5703125" style="194" customWidth="1"/>
    <col min="11527" max="11529" width="11.42578125" style="194" bestFit="1" customWidth="1"/>
    <col min="11530" max="11530" width="12.28515625" style="194" customWidth="1"/>
    <col min="11531" max="11531" width="1.42578125" style="194" customWidth="1"/>
    <col min="11532" max="11532" width="74.140625" style="194" customWidth="1"/>
    <col min="11533" max="11776" width="9.140625" style="194"/>
    <col min="11777" max="11777" width="2" style="194" customWidth="1"/>
    <col min="11778" max="11778" width="68.7109375" style="194" bestFit="1" customWidth="1"/>
    <col min="11779" max="11779" width="16" style="194" bestFit="1" customWidth="1"/>
    <col min="11780" max="11781" width="11.42578125" style="194" bestFit="1" customWidth="1"/>
    <col min="11782" max="11782" width="11.5703125" style="194" customWidth="1"/>
    <col min="11783" max="11785" width="11.42578125" style="194" bestFit="1" customWidth="1"/>
    <col min="11786" max="11786" width="12.28515625" style="194" customWidth="1"/>
    <col min="11787" max="11787" width="1.42578125" style="194" customWidth="1"/>
    <col min="11788" max="11788" width="74.140625" style="194" customWidth="1"/>
    <col min="11789" max="12032" width="9.140625" style="194"/>
    <col min="12033" max="12033" width="2" style="194" customWidth="1"/>
    <col min="12034" max="12034" width="68.7109375" style="194" bestFit="1" customWidth="1"/>
    <col min="12035" max="12035" width="16" style="194" bestFit="1" customWidth="1"/>
    <col min="12036" max="12037" width="11.42578125" style="194" bestFit="1" customWidth="1"/>
    <col min="12038" max="12038" width="11.5703125" style="194" customWidth="1"/>
    <col min="12039" max="12041" width="11.42578125" style="194" bestFit="1" customWidth="1"/>
    <col min="12042" max="12042" width="12.28515625" style="194" customWidth="1"/>
    <col min="12043" max="12043" width="1.42578125" style="194" customWidth="1"/>
    <col min="12044" max="12044" width="74.140625" style="194" customWidth="1"/>
    <col min="12045" max="12288" width="9.140625" style="194"/>
    <col min="12289" max="12289" width="2" style="194" customWidth="1"/>
    <col min="12290" max="12290" width="68.7109375" style="194" bestFit="1" customWidth="1"/>
    <col min="12291" max="12291" width="16" style="194" bestFit="1" customWidth="1"/>
    <col min="12292" max="12293" width="11.42578125" style="194" bestFit="1" customWidth="1"/>
    <col min="12294" max="12294" width="11.5703125" style="194" customWidth="1"/>
    <col min="12295" max="12297" width="11.42578125" style="194" bestFit="1" customWidth="1"/>
    <col min="12298" max="12298" width="12.28515625" style="194" customWidth="1"/>
    <col min="12299" max="12299" width="1.42578125" style="194" customWidth="1"/>
    <col min="12300" max="12300" width="74.140625" style="194" customWidth="1"/>
    <col min="12301" max="12544" width="9.140625" style="194"/>
    <col min="12545" max="12545" width="2" style="194" customWidth="1"/>
    <col min="12546" max="12546" width="68.7109375" style="194" bestFit="1" customWidth="1"/>
    <col min="12547" max="12547" width="16" style="194" bestFit="1" customWidth="1"/>
    <col min="12548" max="12549" width="11.42578125" style="194" bestFit="1" customWidth="1"/>
    <col min="12550" max="12550" width="11.5703125" style="194" customWidth="1"/>
    <col min="12551" max="12553" width="11.42578125" style="194" bestFit="1" customWidth="1"/>
    <col min="12554" max="12554" width="12.28515625" style="194" customWidth="1"/>
    <col min="12555" max="12555" width="1.42578125" style="194" customWidth="1"/>
    <col min="12556" max="12556" width="74.140625" style="194" customWidth="1"/>
    <col min="12557" max="12800" width="9.140625" style="194"/>
    <col min="12801" max="12801" width="2" style="194" customWidth="1"/>
    <col min="12802" max="12802" width="68.7109375" style="194" bestFit="1" customWidth="1"/>
    <col min="12803" max="12803" width="16" style="194" bestFit="1" customWidth="1"/>
    <col min="12804" max="12805" width="11.42578125" style="194" bestFit="1" customWidth="1"/>
    <col min="12806" max="12806" width="11.5703125" style="194" customWidth="1"/>
    <col min="12807" max="12809" width="11.42578125" style="194" bestFit="1" customWidth="1"/>
    <col min="12810" max="12810" width="12.28515625" style="194" customWidth="1"/>
    <col min="12811" max="12811" width="1.42578125" style="194" customWidth="1"/>
    <col min="12812" max="12812" width="74.140625" style="194" customWidth="1"/>
    <col min="12813" max="13056" width="9.140625" style="194"/>
    <col min="13057" max="13057" width="2" style="194" customWidth="1"/>
    <col min="13058" max="13058" width="68.7109375" style="194" bestFit="1" customWidth="1"/>
    <col min="13059" max="13059" width="16" style="194" bestFit="1" customWidth="1"/>
    <col min="13060" max="13061" width="11.42578125" style="194" bestFit="1" customWidth="1"/>
    <col min="13062" max="13062" width="11.5703125" style="194" customWidth="1"/>
    <col min="13063" max="13065" width="11.42578125" style="194" bestFit="1" customWidth="1"/>
    <col min="13066" max="13066" width="12.28515625" style="194" customWidth="1"/>
    <col min="13067" max="13067" width="1.42578125" style="194" customWidth="1"/>
    <col min="13068" max="13068" width="74.140625" style="194" customWidth="1"/>
    <col min="13069" max="13312" width="9.140625" style="194"/>
    <col min="13313" max="13313" width="2" style="194" customWidth="1"/>
    <col min="13314" max="13314" width="68.7109375" style="194" bestFit="1" customWidth="1"/>
    <col min="13315" max="13315" width="16" style="194" bestFit="1" customWidth="1"/>
    <col min="13316" max="13317" width="11.42578125" style="194" bestFit="1" customWidth="1"/>
    <col min="13318" max="13318" width="11.5703125" style="194" customWidth="1"/>
    <col min="13319" max="13321" width="11.42578125" style="194" bestFit="1" customWidth="1"/>
    <col min="13322" max="13322" width="12.28515625" style="194" customWidth="1"/>
    <col min="13323" max="13323" width="1.42578125" style="194" customWidth="1"/>
    <col min="13324" max="13324" width="74.140625" style="194" customWidth="1"/>
    <col min="13325" max="13568" width="9.140625" style="194"/>
    <col min="13569" max="13569" width="2" style="194" customWidth="1"/>
    <col min="13570" max="13570" width="68.7109375" style="194" bestFit="1" customWidth="1"/>
    <col min="13571" max="13571" width="16" style="194" bestFit="1" customWidth="1"/>
    <col min="13572" max="13573" width="11.42578125" style="194" bestFit="1" customWidth="1"/>
    <col min="13574" max="13574" width="11.5703125" style="194" customWidth="1"/>
    <col min="13575" max="13577" width="11.42578125" style="194" bestFit="1" customWidth="1"/>
    <col min="13578" max="13578" width="12.28515625" style="194" customWidth="1"/>
    <col min="13579" max="13579" width="1.42578125" style="194" customWidth="1"/>
    <col min="13580" max="13580" width="74.140625" style="194" customWidth="1"/>
    <col min="13581" max="13824" width="9.140625" style="194"/>
    <col min="13825" max="13825" width="2" style="194" customWidth="1"/>
    <col min="13826" max="13826" width="68.7109375" style="194" bestFit="1" customWidth="1"/>
    <col min="13827" max="13827" width="16" style="194" bestFit="1" customWidth="1"/>
    <col min="13828" max="13829" width="11.42578125" style="194" bestFit="1" customWidth="1"/>
    <col min="13830" max="13830" width="11.5703125" style="194" customWidth="1"/>
    <col min="13831" max="13833" width="11.42578125" style="194" bestFit="1" customWidth="1"/>
    <col min="13834" max="13834" width="12.28515625" style="194" customWidth="1"/>
    <col min="13835" max="13835" width="1.42578125" style="194" customWidth="1"/>
    <col min="13836" max="13836" width="74.140625" style="194" customWidth="1"/>
    <col min="13837" max="14080" width="9.140625" style="194"/>
    <col min="14081" max="14081" width="2" style="194" customWidth="1"/>
    <col min="14082" max="14082" width="68.7109375" style="194" bestFit="1" customWidth="1"/>
    <col min="14083" max="14083" width="16" style="194" bestFit="1" customWidth="1"/>
    <col min="14084" max="14085" width="11.42578125" style="194" bestFit="1" customWidth="1"/>
    <col min="14086" max="14086" width="11.5703125" style="194" customWidth="1"/>
    <col min="14087" max="14089" width="11.42578125" style="194" bestFit="1" customWidth="1"/>
    <col min="14090" max="14090" width="12.28515625" style="194" customWidth="1"/>
    <col min="14091" max="14091" width="1.42578125" style="194" customWidth="1"/>
    <col min="14092" max="14092" width="74.140625" style="194" customWidth="1"/>
    <col min="14093" max="14336" width="9.140625" style="194"/>
    <col min="14337" max="14337" width="2" style="194" customWidth="1"/>
    <col min="14338" max="14338" width="68.7109375" style="194" bestFit="1" customWidth="1"/>
    <col min="14339" max="14339" width="16" style="194" bestFit="1" customWidth="1"/>
    <col min="14340" max="14341" width="11.42578125" style="194" bestFit="1" customWidth="1"/>
    <col min="14342" max="14342" width="11.5703125" style="194" customWidth="1"/>
    <col min="14343" max="14345" width="11.42578125" style="194" bestFit="1" customWidth="1"/>
    <col min="14346" max="14346" width="12.28515625" style="194" customWidth="1"/>
    <col min="14347" max="14347" width="1.42578125" style="194" customWidth="1"/>
    <col min="14348" max="14348" width="74.140625" style="194" customWidth="1"/>
    <col min="14349" max="14592" width="9.140625" style="194"/>
    <col min="14593" max="14593" width="2" style="194" customWidth="1"/>
    <col min="14594" max="14594" width="68.7109375" style="194" bestFit="1" customWidth="1"/>
    <col min="14595" max="14595" width="16" style="194" bestFit="1" customWidth="1"/>
    <col min="14596" max="14597" width="11.42578125" style="194" bestFit="1" customWidth="1"/>
    <col min="14598" max="14598" width="11.5703125" style="194" customWidth="1"/>
    <col min="14599" max="14601" width="11.42578125" style="194" bestFit="1" customWidth="1"/>
    <col min="14602" max="14602" width="12.28515625" style="194" customWidth="1"/>
    <col min="14603" max="14603" width="1.42578125" style="194" customWidth="1"/>
    <col min="14604" max="14604" width="74.140625" style="194" customWidth="1"/>
    <col min="14605" max="14848" width="9.140625" style="194"/>
    <col min="14849" max="14849" width="2" style="194" customWidth="1"/>
    <col min="14850" max="14850" width="68.7109375" style="194" bestFit="1" customWidth="1"/>
    <col min="14851" max="14851" width="16" style="194" bestFit="1" customWidth="1"/>
    <col min="14852" max="14853" width="11.42578125" style="194" bestFit="1" customWidth="1"/>
    <col min="14854" max="14854" width="11.5703125" style="194" customWidth="1"/>
    <col min="14855" max="14857" width="11.42578125" style="194" bestFit="1" customWidth="1"/>
    <col min="14858" max="14858" width="12.28515625" style="194" customWidth="1"/>
    <col min="14859" max="14859" width="1.42578125" style="194" customWidth="1"/>
    <col min="14860" max="14860" width="74.140625" style="194" customWidth="1"/>
    <col min="14861" max="15104" width="9.140625" style="194"/>
    <col min="15105" max="15105" width="2" style="194" customWidth="1"/>
    <col min="15106" max="15106" width="68.7109375" style="194" bestFit="1" customWidth="1"/>
    <col min="15107" max="15107" width="16" style="194" bestFit="1" customWidth="1"/>
    <col min="15108" max="15109" width="11.42578125" style="194" bestFit="1" customWidth="1"/>
    <col min="15110" max="15110" width="11.5703125" style="194" customWidth="1"/>
    <col min="15111" max="15113" width="11.42578125" style="194" bestFit="1" customWidth="1"/>
    <col min="15114" max="15114" width="12.28515625" style="194" customWidth="1"/>
    <col min="15115" max="15115" width="1.42578125" style="194" customWidth="1"/>
    <col min="15116" max="15116" width="74.140625" style="194" customWidth="1"/>
    <col min="15117" max="15360" width="9.140625" style="194"/>
    <col min="15361" max="15361" width="2" style="194" customWidth="1"/>
    <col min="15362" max="15362" width="68.7109375" style="194" bestFit="1" customWidth="1"/>
    <col min="15363" max="15363" width="16" style="194" bestFit="1" customWidth="1"/>
    <col min="15364" max="15365" width="11.42578125" style="194" bestFit="1" customWidth="1"/>
    <col min="15366" max="15366" width="11.5703125" style="194" customWidth="1"/>
    <col min="15367" max="15369" width="11.42578125" style="194" bestFit="1" customWidth="1"/>
    <col min="15370" max="15370" width="12.28515625" style="194" customWidth="1"/>
    <col min="15371" max="15371" width="1.42578125" style="194" customWidth="1"/>
    <col min="15372" max="15372" width="74.140625" style="194" customWidth="1"/>
    <col min="15373" max="15616" width="9.140625" style="194"/>
    <col min="15617" max="15617" width="2" style="194" customWidth="1"/>
    <col min="15618" max="15618" width="68.7109375" style="194" bestFit="1" customWidth="1"/>
    <col min="15619" max="15619" width="16" style="194" bestFit="1" customWidth="1"/>
    <col min="15620" max="15621" width="11.42578125" style="194" bestFit="1" customWidth="1"/>
    <col min="15622" max="15622" width="11.5703125" style="194" customWidth="1"/>
    <col min="15623" max="15625" width="11.42578125" style="194" bestFit="1" customWidth="1"/>
    <col min="15626" max="15626" width="12.28515625" style="194" customWidth="1"/>
    <col min="15627" max="15627" width="1.42578125" style="194" customWidth="1"/>
    <col min="15628" max="15628" width="74.140625" style="194" customWidth="1"/>
    <col min="15629" max="15872" width="9.140625" style="194"/>
    <col min="15873" max="15873" width="2" style="194" customWidth="1"/>
    <col min="15874" max="15874" width="68.7109375" style="194" bestFit="1" customWidth="1"/>
    <col min="15875" max="15875" width="16" style="194" bestFit="1" customWidth="1"/>
    <col min="15876" max="15877" width="11.42578125" style="194" bestFit="1" customWidth="1"/>
    <col min="15878" max="15878" width="11.5703125" style="194" customWidth="1"/>
    <col min="15879" max="15881" width="11.42578125" style="194" bestFit="1" customWidth="1"/>
    <col min="15882" max="15882" width="12.28515625" style="194" customWidth="1"/>
    <col min="15883" max="15883" width="1.42578125" style="194" customWidth="1"/>
    <col min="15884" max="15884" width="74.140625" style="194" customWidth="1"/>
    <col min="15885" max="16128" width="9.140625" style="194"/>
    <col min="16129" max="16129" width="2" style="194" customWidth="1"/>
    <col min="16130" max="16130" width="68.7109375" style="194" bestFit="1" customWidth="1"/>
    <col min="16131" max="16131" width="16" style="194" bestFit="1" customWidth="1"/>
    <col min="16132" max="16133" width="11.42578125" style="194" bestFit="1" customWidth="1"/>
    <col min="16134" max="16134" width="11.5703125" style="194" customWidth="1"/>
    <col min="16135" max="16137" width="11.42578125" style="194" bestFit="1" customWidth="1"/>
    <col min="16138" max="16138" width="12.28515625" style="194" customWidth="1"/>
    <col min="16139" max="16139" width="1.42578125" style="194" customWidth="1"/>
    <col min="16140" max="16140" width="74.140625" style="194" customWidth="1"/>
    <col min="16141" max="16384" width="9.140625" style="194"/>
  </cols>
  <sheetData>
    <row r="1" spans="1:12" ht="15.75" thickBot="1">
      <c r="C1" s="194"/>
    </row>
    <row r="2" spans="1:12">
      <c r="B2" s="196"/>
      <c r="C2" s="197"/>
      <c r="D2" s="197"/>
      <c r="E2" s="198"/>
      <c r="F2" s="198"/>
      <c r="G2" s="198"/>
      <c r="H2" s="198"/>
      <c r="I2" s="198"/>
      <c r="J2" s="199"/>
      <c r="K2" s="200"/>
      <c r="L2" s="200"/>
    </row>
    <row r="3" spans="1:12" ht="15.75">
      <c r="B3" s="201" t="s">
        <v>283</v>
      </c>
      <c r="C3" s="200"/>
      <c r="D3" s="200"/>
      <c r="E3" s="202"/>
      <c r="F3" s="202"/>
      <c r="G3" s="202"/>
      <c r="H3" s="202"/>
      <c r="I3" s="202"/>
      <c r="J3" s="203"/>
      <c r="K3" s="200"/>
      <c r="L3" s="200"/>
    </row>
    <row r="4" spans="1:12">
      <c r="B4" s="204"/>
      <c r="C4" s="200"/>
      <c r="D4" s="200"/>
      <c r="E4" s="202"/>
      <c r="F4" s="202"/>
      <c r="G4" s="202"/>
      <c r="H4" s="202"/>
      <c r="I4" s="202"/>
      <c r="J4" s="203"/>
      <c r="K4" s="200"/>
      <c r="L4" s="200"/>
    </row>
    <row r="5" spans="1:12" ht="15.75">
      <c r="B5" s="205" t="s">
        <v>284</v>
      </c>
      <c r="C5" s="206">
        <v>32672000</v>
      </c>
      <c r="D5" s="200"/>
      <c r="E5" s="202"/>
      <c r="F5" s="202"/>
      <c r="G5" s="202"/>
      <c r="H5" s="202"/>
      <c r="I5" s="202"/>
      <c r="J5" s="203"/>
      <c r="K5" s="200"/>
      <c r="L5" s="200"/>
    </row>
    <row r="6" spans="1:12" ht="11.25" customHeight="1">
      <c r="B6" s="204"/>
      <c r="C6" s="207"/>
      <c r="D6" s="200"/>
      <c r="E6" s="202"/>
      <c r="F6" s="202"/>
      <c r="G6" s="202"/>
      <c r="H6" s="202"/>
      <c r="I6" s="202"/>
      <c r="J6" s="203"/>
      <c r="K6" s="200"/>
      <c r="L6" s="208"/>
    </row>
    <row r="7" spans="1:12" ht="30.75" customHeight="1">
      <c r="B7" s="529" t="s">
        <v>285</v>
      </c>
      <c r="C7" s="530"/>
      <c r="D7" s="530"/>
      <c r="E7" s="530"/>
      <c r="F7" s="209"/>
      <c r="G7" s="209" t="s">
        <v>286</v>
      </c>
      <c r="H7" s="209"/>
      <c r="I7" s="209"/>
      <c r="J7" s="203"/>
      <c r="K7" s="200"/>
      <c r="L7" s="200"/>
    </row>
    <row r="8" spans="1:12" ht="15.75">
      <c r="B8" s="204" t="s">
        <v>287</v>
      </c>
      <c r="C8" s="207">
        <f>C5*D8</f>
        <v>980160</v>
      </c>
      <c r="D8" s="210">
        <v>0.03</v>
      </c>
      <c r="E8" s="202"/>
      <c r="F8" s="202"/>
      <c r="G8" s="211">
        <f>D44</f>
        <v>1095000</v>
      </c>
      <c r="H8" s="212">
        <f>G8/$C$5</f>
        <v>3.3514936336924581E-2</v>
      </c>
      <c r="I8" s="202"/>
      <c r="J8" s="203"/>
      <c r="K8" s="200"/>
      <c r="L8" s="200"/>
    </row>
    <row r="9" spans="1:12" ht="15.75">
      <c r="B9" s="204" t="s">
        <v>288</v>
      </c>
      <c r="C9" s="207">
        <f>C5*D9</f>
        <v>1992992</v>
      </c>
      <c r="D9" s="213">
        <v>6.0999999999999999E-2</v>
      </c>
      <c r="E9" s="202"/>
      <c r="F9" s="202"/>
      <c r="G9" s="211">
        <f>E44</f>
        <v>2195600</v>
      </c>
      <c r="H9" s="213">
        <f>G9/$C$5</f>
        <v>6.7201273261508321E-2</v>
      </c>
      <c r="I9" s="202"/>
      <c r="J9" s="203"/>
      <c r="K9" s="200"/>
      <c r="L9" s="200"/>
    </row>
    <row r="10" spans="1:12" ht="15.75">
      <c r="B10" s="204" t="s">
        <v>289</v>
      </c>
      <c r="C10" s="207">
        <f>C5*D10</f>
        <v>3365216</v>
      </c>
      <c r="D10" s="213">
        <v>0.10299999999999999</v>
      </c>
      <c r="E10" s="202"/>
      <c r="F10" s="202"/>
      <c r="G10" s="211">
        <f>F44</f>
        <v>3602600</v>
      </c>
      <c r="H10" s="213">
        <f>G10/$C$5</f>
        <v>0.11026567091087169</v>
      </c>
      <c r="I10" s="202"/>
      <c r="J10" s="203"/>
      <c r="K10" s="200"/>
      <c r="L10" s="200"/>
    </row>
    <row r="11" spans="1:12">
      <c r="B11" s="204"/>
      <c r="C11" s="200"/>
      <c r="D11" s="200"/>
      <c r="E11" s="202"/>
      <c r="F11" s="202"/>
      <c r="G11" s="202"/>
      <c r="H11" s="202"/>
      <c r="I11" s="202"/>
      <c r="J11" s="203"/>
      <c r="K11" s="200"/>
      <c r="L11" s="200"/>
    </row>
    <row r="12" spans="1:12" ht="30">
      <c r="B12" s="214" t="s">
        <v>290</v>
      </c>
      <c r="C12" s="200"/>
      <c r="D12" s="200"/>
      <c r="E12" s="202"/>
      <c r="F12" s="202"/>
      <c r="G12" s="202"/>
      <c r="H12" s="202"/>
      <c r="I12" s="202"/>
      <c r="J12" s="203"/>
      <c r="K12" s="200"/>
      <c r="L12" s="200"/>
    </row>
    <row r="13" spans="1:12" ht="15.75" thickBot="1">
      <c r="B13" s="215"/>
      <c r="C13" s="216"/>
      <c r="D13" s="217"/>
      <c r="E13" s="218"/>
      <c r="F13" s="218"/>
      <c r="G13" s="218"/>
      <c r="H13" s="218"/>
      <c r="I13" s="218"/>
      <c r="J13" s="219"/>
    </row>
    <row r="14" spans="1:12">
      <c r="B14" s="220"/>
      <c r="C14" s="200"/>
      <c r="D14" s="200"/>
      <c r="E14" s="202"/>
      <c r="F14" s="202"/>
      <c r="G14" s="202"/>
      <c r="H14" s="202"/>
      <c r="I14" s="202"/>
      <c r="J14" s="200"/>
      <c r="K14" s="221"/>
      <c r="L14" s="221"/>
    </row>
    <row r="15" spans="1:12" ht="47.25">
      <c r="A15" s="222"/>
      <c r="B15" s="223" t="s">
        <v>291</v>
      </c>
      <c r="C15" s="224" t="s">
        <v>292</v>
      </c>
      <c r="D15" s="225" t="s">
        <v>293</v>
      </c>
      <c r="E15" s="226" t="s">
        <v>294</v>
      </c>
      <c r="F15" s="226" t="s">
        <v>295</v>
      </c>
      <c r="G15" s="226" t="s">
        <v>296</v>
      </c>
      <c r="H15" s="226" t="s">
        <v>297</v>
      </c>
      <c r="I15" s="226" t="s">
        <v>298</v>
      </c>
      <c r="J15" s="227" t="s">
        <v>299</v>
      </c>
      <c r="K15" s="200"/>
      <c r="L15" s="228" t="s">
        <v>300</v>
      </c>
    </row>
    <row r="16" spans="1:12" ht="15.75">
      <c r="B16" s="229"/>
      <c r="C16" s="200"/>
      <c r="D16" s="200"/>
      <c r="E16" s="202"/>
      <c r="F16" s="202"/>
      <c r="G16" s="202"/>
      <c r="H16" s="202"/>
      <c r="I16" s="202"/>
      <c r="J16" s="200"/>
      <c r="K16" s="200"/>
      <c r="L16" s="200"/>
    </row>
    <row r="17" spans="1:12" ht="15.75">
      <c r="B17" s="531"/>
      <c r="C17" s="532"/>
      <c r="D17" s="200"/>
      <c r="E17" s="202"/>
      <c r="F17" s="202"/>
      <c r="G17" s="202"/>
      <c r="H17" s="202"/>
      <c r="I17" s="202"/>
      <c r="J17" s="200"/>
      <c r="K17" s="200"/>
      <c r="L17" s="200"/>
    </row>
    <row r="18" spans="1:12">
      <c r="B18" s="230" t="s">
        <v>48</v>
      </c>
      <c r="C18" s="200" t="s">
        <v>301</v>
      </c>
      <c r="D18" s="207">
        <v>35000</v>
      </c>
      <c r="E18" s="211">
        <v>35000</v>
      </c>
      <c r="F18" s="211">
        <v>35000</v>
      </c>
      <c r="G18" s="211">
        <v>35000</v>
      </c>
      <c r="H18" s="211">
        <v>35000</v>
      </c>
      <c r="I18" s="211">
        <v>35000</v>
      </c>
      <c r="J18" s="211">
        <v>35000</v>
      </c>
      <c r="K18" s="200"/>
      <c r="L18" s="200" t="s">
        <v>101</v>
      </c>
    </row>
    <row r="19" spans="1:12">
      <c r="B19" s="230" t="s">
        <v>102</v>
      </c>
      <c r="C19" s="200" t="s">
        <v>301</v>
      </c>
      <c r="D19" s="207">
        <v>23000</v>
      </c>
      <c r="E19" s="211">
        <v>46000</v>
      </c>
      <c r="F19" s="211">
        <v>43000</v>
      </c>
      <c r="G19" s="211">
        <v>43000</v>
      </c>
      <c r="H19" s="211">
        <v>46000</v>
      </c>
      <c r="I19" s="211">
        <v>46000</v>
      </c>
      <c r="J19" s="211">
        <v>46000</v>
      </c>
      <c r="K19" s="200"/>
      <c r="L19" s="200" t="s">
        <v>302</v>
      </c>
    </row>
    <row r="20" spans="1:12" ht="30">
      <c r="B20" s="230" t="s">
        <v>303</v>
      </c>
      <c r="C20" s="200" t="s">
        <v>301</v>
      </c>
      <c r="D20" s="207">
        <v>37000</v>
      </c>
      <c r="E20" s="211">
        <v>57000</v>
      </c>
      <c r="F20" s="211">
        <v>80000</v>
      </c>
      <c r="G20" s="211">
        <v>103000</v>
      </c>
      <c r="H20" s="211">
        <v>126000</v>
      </c>
      <c r="I20" s="211">
        <v>126000</v>
      </c>
      <c r="J20" s="211">
        <v>126000</v>
      </c>
      <c r="K20" s="200"/>
      <c r="L20" s="208" t="s">
        <v>304</v>
      </c>
    </row>
    <row r="21" spans="1:12">
      <c r="B21" s="230" t="s">
        <v>103</v>
      </c>
      <c r="C21" s="200" t="s">
        <v>301</v>
      </c>
      <c r="D21" s="207">
        <v>0</v>
      </c>
      <c r="E21" s="211">
        <v>0</v>
      </c>
      <c r="F21" s="211">
        <v>0</v>
      </c>
      <c r="G21" s="211">
        <v>0</v>
      </c>
      <c r="H21" s="211">
        <v>40000</v>
      </c>
      <c r="I21" s="211">
        <v>40000</v>
      </c>
      <c r="J21" s="211">
        <v>40000</v>
      </c>
      <c r="K21" s="200"/>
      <c r="L21" s="200" t="s">
        <v>104</v>
      </c>
    </row>
    <row r="22" spans="1:12">
      <c r="B22" s="230" t="s">
        <v>107</v>
      </c>
      <c r="C22" s="200" t="s">
        <v>301</v>
      </c>
      <c r="D22" s="207">
        <v>15000</v>
      </c>
      <c r="E22" s="211">
        <v>29000</v>
      </c>
      <c r="F22" s="211">
        <v>20000</v>
      </c>
      <c r="G22" s="211">
        <v>20000</v>
      </c>
      <c r="H22" s="211">
        <v>29000</v>
      </c>
      <c r="I22" s="211">
        <v>29000</v>
      </c>
      <c r="J22" s="211">
        <v>29000</v>
      </c>
      <c r="K22" s="200"/>
      <c r="L22" s="208" t="s">
        <v>108</v>
      </c>
    </row>
    <row r="23" spans="1:12" ht="30">
      <c r="B23" s="230" t="s">
        <v>305</v>
      </c>
      <c r="C23" s="200" t="s">
        <v>301</v>
      </c>
      <c r="D23" s="207">
        <v>0</v>
      </c>
      <c r="E23" s="211">
        <v>0</v>
      </c>
      <c r="F23" s="211">
        <v>1500</v>
      </c>
      <c r="G23" s="211">
        <v>0</v>
      </c>
      <c r="H23" s="211">
        <v>27000</v>
      </c>
      <c r="I23" s="211">
        <v>27000</v>
      </c>
      <c r="J23" s="211">
        <v>27000</v>
      </c>
      <c r="K23" s="200"/>
      <c r="L23" s="208" t="s">
        <v>306</v>
      </c>
    </row>
    <row r="24" spans="1:12">
      <c r="B24" s="230" t="s">
        <v>109</v>
      </c>
      <c r="C24" s="200" t="s">
        <v>301</v>
      </c>
      <c r="D24" s="207">
        <v>0</v>
      </c>
      <c r="E24" s="211">
        <v>0</v>
      </c>
      <c r="F24" s="211">
        <v>0</v>
      </c>
      <c r="G24" s="211">
        <v>0</v>
      </c>
      <c r="H24" s="211">
        <v>7000</v>
      </c>
      <c r="I24" s="211">
        <v>7000</v>
      </c>
      <c r="J24" s="211">
        <v>7000</v>
      </c>
      <c r="K24" s="200"/>
      <c r="L24" s="200" t="s">
        <v>110</v>
      </c>
    </row>
    <row r="25" spans="1:12">
      <c r="B25" s="230" t="s">
        <v>111</v>
      </c>
      <c r="C25" s="200" t="s">
        <v>301</v>
      </c>
      <c r="D25" s="207">
        <v>0</v>
      </c>
      <c r="E25" s="211">
        <v>0</v>
      </c>
      <c r="F25" s="211">
        <v>0</v>
      </c>
      <c r="G25" s="211">
        <v>0</v>
      </c>
      <c r="H25" s="211">
        <v>36000</v>
      </c>
      <c r="I25" s="211">
        <v>36000</v>
      </c>
      <c r="J25" s="211">
        <v>36000</v>
      </c>
      <c r="K25" s="200"/>
      <c r="L25" s="200" t="s">
        <v>112</v>
      </c>
    </row>
    <row r="26" spans="1:12">
      <c r="B26" s="230" t="s">
        <v>84</v>
      </c>
      <c r="C26" s="200" t="s">
        <v>301</v>
      </c>
      <c r="D26" s="207">
        <v>0</v>
      </c>
      <c r="E26" s="211">
        <v>3000</v>
      </c>
      <c r="F26" s="211">
        <v>75000</v>
      </c>
      <c r="G26" s="211">
        <v>30000</v>
      </c>
      <c r="H26" s="211">
        <v>126000</v>
      </c>
      <c r="I26" s="211">
        <v>127000</v>
      </c>
      <c r="J26" s="207">
        <v>127000</v>
      </c>
      <c r="K26" s="200"/>
      <c r="L26" s="200" t="s">
        <v>113</v>
      </c>
    </row>
    <row r="27" spans="1:12" ht="30">
      <c r="B27" s="230" t="s">
        <v>307</v>
      </c>
      <c r="C27" s="200" t="s">
        <v>301</v>
      </c>
      <c r="D27" s="207">
        <v>100000</v>
      </c>
      <c r="E27" s="211">
        <v>100000</v>
      </c>
      <c r="F27" s="211">
        <v>100000</v>
      </c>
      <c r="G27" s="211">
        <v>100000</v>
      </c>
      <c r="H27" s="211">
        <v>100000</v>
      </c>
      <c r="I27" s="211">
        <v>100000</v>
      </c>
      <c r="J27" s="211">
        <v>100000</v>
      </c>
      <c r="K27" s="200"/>
      <c r="L27" s="208" t="s">
        <v>308</v>
      </c>
    </row>
    <row r="28" spans="1:12">
      <c r="B28" s="230"/>
      <c r="C28" s="200"/>
      <c r="D28" s="207"/>
      <c r="E28" s="211"/>
      <c r="F28" s="211"/>
      <c r="G28" s="211"/>
      <c r="H28" s="211"/>
      <c r="I28" s="211"/>
      <c r="J28" s="211"/>
      <c r="K28" s="200"/>
      <c r="L28" s="208"/>
    </row>
    <row r="29" spans="1:12" ht="15.75">
      <c r="B29" s="231" t="s">
        <v>309</v>
      </c>
      <c r="C29" s="200"/>
      <c r="D29" s="232">
        <f>SUM(D18:D28)</f>
        <v>210000</v>
      </c>
      <c r="E29" s="232">
        <f t="shared" ref="E29:J29" si="0">SUM(E18:E28)</f>
        <v>270000</v>
      </c>
      <c r="F29" s="232">
        <f t="shared" si="0"/>
        <v>354500</v>
      </c>
      <c r="G29" s="232">
        <f t="shared" si="0"/>
        <v>331000</v>
      </c>
      <c r="H29" s="232">
        <f t="shared" si="0"/>
        <v>572000</v>
      </c>
      <c r="I29" s="232">
        <f t="shared" si="0"/>
        <v>573000</v>
      </c>
      <c r="J29" s="232">
        <f t="shared" si="0"/>
        <v>573000</v>
      </c>
      <c r="K29" s="200"/>
      <c r="L29" s="208"/>
    </row>
    <row r="30" spans="1:12">
      <c r="B30" s="230"/>
      <c r="C30" s="200"/>
      <c r="D30" s="207"/>
      <c r="E30" s="211"/>
      <c r="F30" s="211"/>
      <c r="G30" s="211"/>
      <c r="H30" s="211"/>
      <c r="I30" s="211"/>
      <c r="J30" s="211"/>
      <c r="K30" s="200"/>
      <c r="L30" s="208"/>
    </row>
    <row r="31" spans="1:12" ht="30">
      <c r="A31" s="194">
        <v>1</v>
      </c>
      <c r="B31" s="230" t="s">
        <v>100</v>
      </c>
      <c r="C31" s="200" t="s">
        <v>301</v>
      </c>
      <c r="D31" s="207">
        <v>25000</v>
      </c>
      <c r="E31" s="211">
        <v>25000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00"/>
      <c r="L31" s="208" t="s">
        <v>310</v>
      </c>
    </row>
    <row r="32" spans="1:12">
      <c r="A32" s="194">
        <v>1</v>
      </c>
      <c r="B32" s="230" t="s">
        <v>311</v>
      </c>
      <c r="C32" s="200" t="s">
        <v>301</v>
      </c>
      <c r="D32" s="207">
        <v>0</v>
      </c>
      <c r="E32" s="211">
        <v>0</v>
      </c>
      <c r="F32" s="211">
        <v>42000</v>
      </c>
      <c r="G32" s="211">
        <v>93000</v>
      </c>
      <c r="H32" s="211">
        <v>93000</v>
      </c>
      <c r="I32" s="211">
        <v>93000</v>
      </c>
      <c r="J32" s="211">
        <v>93000</v>
      </c>
      <c r="K32" s="200"/>
      <c r="L32" s="208" t="s">
        <v>312</v>
      </c>
    </row>
    <row r="33" spans="1:12">
      <c r="A33" s="194">
        <v>1</v>
      </c>
      <c r="B33" s="230" t="s">
        <v>114</v>
      </c>
      <c r="C33" s="200" t="s">
        <v>301</v>
      </c>
      <c r="D33" s="207">
        <v>0</v>
      </c>
      <c r="E33" s="211">
        <v>163000</v>
      </c>
      <c r="F33" s="211">
        <v>0</v>
      </c>
      <c r="G33" s="211">
        <v>0</v>
      </c>
      <c r="H33" s="211">
        <v>0</v>
      </c>
      <c r="I33" s="211">
        <v>0</v>
      </c>
      <c r="J33" s="207">
        <v>0</v>
      </c>
      <c r="K33" s="200"/>
      <c r="L33" s="200" t="s">
        <v>113</v>
      </c>
    </row>
    <row r="34" spans="1:12">
      <c r="A34" s="194">
        <v>2</v>
      </c>
      <c r="B34" s="230" t="s">
        <v>105</v>
      </c>
      <c r="C34" s="200" t="s">
        <v>313</v>
      </c>
      <c r="D34" s="207">
        <v>206000</v>
      </c>
      <c r="E34" s="211">
        <v>245000</v>
      </c>
      <c r="F34" s="211">
        <v>245000</v>
      </c>
      <c r="G34" s="211">
        <v>245000</v>
      </c>
      <c r="H34" s="211">
        <v>245000</v>
      </c>
      <c r="I34" s="211">
        <v>245000</v>
      </c>
      <c r="J34" s="211">
        <v>245000</v>
      </c>
      <c r="K34" s="200"/>
      <c r="L34" s="200" t="s">
        <v>106</v>
      </c>
    </row>
    <row r="35" spans="1:12">
      <c r="A35" s="194">
        <v>2</v>
      </c>
      <c r="B35" s="230" t="s">
        <v>314</v>
      </c>
      <c r="C35" s="200" t="s">
        <v>313</v>
      </c>
      <c r="D35" s="207">
        <v>2000</v>
      </c>
      <c r="E35" s="211">
        <v>0</v>
      </c>
      <c r="F35" s="211">
        <v>0</v>
      </c>
      <c r="G35" s="211">
        <v>0</v>
      </c>
      <c r="H35" s="211">
        <v>0</v>
      </c>
      <c r="I35" s="211">
        <v>0</v>
      </c>
      <c r="J35" s="200">
        <v>0</v>
      </c>
      <c r="K35" s="200"/>
      <c r="L35" s="200" t="s">
        <v>315</v>
      </c>
    </row>
    <row r="36" spans="1:12">
      <c r="B36" s="233" t="s">
        <v>316</v>
      </c>
      <c r="C36" s="200" t="s">
        <v>313</v>
      </c>
      <c r="D36" s="207">
        <v>0</v>
      </c>
      <c r="E36" s="211">
        <v>0</v>
      </c>
      <c r="F36" s="211">
        <v>503000</v>
      </c>
      <c r="G36" s="211">
        <v>503000</v>
      </c>
      <c r="H36" s="211">
        <v>503000</v>
      </c>
      <c r="I36" s="211">
        <v>503000</v>
      </c>
      <c r="J36" s="200">
        <v>503000</v>
      </c>
      <c r="K36" s="200"/>
      <c r="L36" s="200" t="s">
        <v>317</v>
      </c>
    </row>
    <row r="37" spans="1:12">
      <c r="A37" s="222">
        <v>3</v>
      </c>
      <c r="B37" s="233" t="s">
        <v>318</v>
      </c>
      <c r="C37" s="200" t="s">
        <v>313</v>
      </c>
      <c r="D37" s="207">
        <v>499000</v>
      </c>
      <c r="E37" s="234">
        <v>785600</v>
      </c>
      <c r="F37" s="234">
        <v>537100</v>
      </c>
      <c r="G37" s="234">
        <v>537100</v>
      </c>
      <c r="H37" s="234">
        <v>537100</v>
      </c>
      <c r="I37" s="234">
        <v>537100</v>
      </c>
      <c r="J37" s="234">
        <v>537100</v>
      </c>
      <c r="K37" s="200"/>
      <c r="L37" s="194" t="s">
        <v>319</v>
      </c>
    </row>
    <row r="38" spans="1:12">
      <c r="A38" s="222"/>
      <c r="B38" s="235"/>
      <c r="C38" s="200"/>
      <c r="D38" s="207"/>
      <c r="E38" s="234"/>
      <c r="F38" s="234"/>
      <c r="G38" s="234"/>
      <c r="H38" s="234"/>
      <c r="I38" s="234"/>
      <c r="J38" s="234"/>
      <c r="K38" s="200"/>
    </row>
    <row r="39" spans="1:12">
      <c r="A39" s="222"/>
      <c r="B39" s="236" t="s">
        <v>320</v>
      </c>
      <c r="C39" s="200" t="s">
        <v>321</v>
      </c>
      <c r="D39" s="207">
        <v>153000</v>
      </c>
      <c r="E39" s="211">
        <v>402000</v>
      </c>
      <c r="F39" s="211">
        <v>440000</v>
      </c>
      <c r="G39" s="211">
        <v>440000</v>
      </c>
      <c r="H39" s="211">
        <v>1040000</v>
      </c>
      <c r="I39" s="211">
        <v>1040000</v>
      </c>
      <c r="J39" s="211">
        <v>1040000</v>
      </c>
      <c r="K39" s="200"/>
      <c r="L39" s="237" t="s">
        <v>322</v>
      </c>
    </row>
    <row r="40" spans="1:12" ht="32.25" customHeight="1">
      <c r="A40" s="222"/>
      <c r="B40" s="238" t="s">
        <v>323</v>
      </c>
      <c r="C40" s="200" t="s">
        <v>321</v>
      </c>
      <c r="D40" s="207">
        <v>0</v>
      </c>
      <c r="E40" s="211">
        <v>305000</v>
      </c>
      <c r="F40" s="211">
        <v>1481000</v>
      </c>
      <c r="G40" s="211">
        <v>2000000</v>
      </c>
      <c r="H40" s="211">
        <v>2000000</v>
      </c>
      <c r="I40" s="211">
        <v>2000000</v>
      </c>
      <c r="J40" s="211">
        <v>2000000</v>
      </c>
      <c r="K40" s="200"/>
      <c r="L40" s="208" t="s">
        <v>324</v>
      </c>
    </row>
    <row r="41" spans="1:12">
      <c r="A41" s="222"/>
      <c r="B41" s="239"/>
      <c r="C41" s="200"/>
      <c r="D41" s="207"/>
      <c r="E41" s="211"/>
      <c r="F41" s="211"/>
      <c r="G41" s="211"/>
      <c r="H41" s="211"/>
      <c r="I41" s="211"/>
      <c r="J41" s="211"/>
      <c r="K41" s="200"/>
      <c r="L41" s="237"/>
    </row>
    <row r="42" spans="1:12" ht="15.75">
      <c r="A42" s="222"/>
      <c r="B42" s="240" t="s">
        <v>309</v>
      </c>
      <c r="C42" s="200"/>
      <c r="D42" s="232">
        <f>SUM(D31:D41)</f>
        <v>885000</v>
      </c>
      <c r="E42" s="232">
        <f t="shared" ref="E42:J42" si="1">SUM(E31:E41)</f>
        <v>1925600</v>
      </c>
      <c r="F42" s="232">
        <f t="shared" si="1"/>
        <v>3248100</v>
      </c>
      <c r="G42" s="232">
        <f t="shared" si="1"/>
        <v>3818100</v>
      </c>
      <c r="H42" s="232">
        <f t="shared" si="1"/>
        <v>4418100</v>
      </c>
      <c r="I42" s="232">
        <f t="shared" si="1"/>
        <v>4418100</v>
      </c>
      <c r="J42" s="232">
        <f t="shared" si="1"/>
        <v>4418100</v>
      </c>
      <c r="K42" s="200"/>
      <c r="L42" s="237"/>
    </row>
    <row r="43" spans="1:12">
      <c r="A43" s="241"/>
      <c r="B43" s="202"/>
      <c r="C43" s="200"/>
      <c r="D43" s="207"/>
      <c r="F43" s="211"/>
      <c r="G43" s="211"/>
      <c r="H43" s="211"/>
      <c r="I43" s="211"/>
      <c r="K43" s="200"/>
    </row>
    <row r="44" spans="1:12" ht="16.5" thickBot="1">
      <c r="A44" s="222"/>
      <c r="B44" s="242" t="s">
        <v>325</v>
      </c>
      <c r="C44" s="200"/>
      <c r="D44" s="243">
        <f>SUM(D29+D42)</f>
        <v>1095000</v>
      </c>
      <c r="E44" s="243">
        <f t="shared" ref="E44:J44" si="2">SUM(E29+E42)</f>
        <v>2195600</v>
      </c>
      <c r="F44" s="243">
        <f t="shared" si="2"/>
        <v>3602600</v>
      </c>
      <c r="G44" s="243">
        <f t="shared" si="2"/>
        <v>4149100</v>
      </c>
      <c r="H44" s="243">
        <f t="shared" si="2"/>
        <v>4990100</v>
      </c>
      <c r="I44" s="243">
        <f t="shared" si="2"/>
        <v>4991100</v>
      </c>
      <c r="J44" s="243">
        <f t="shared" si="2"/>
        <v>4991100</v>
      </c>
      <c r="K44" s="200"/>
      <c r="L44" s="208"/>
    </row>
    <row r="45" spans="1:12" ht="15.75">
      <c r="A45" s="222"/>
      <c r="B45" s="242"/>
      <c r="C45" s="200"/>
      <c r="D45" s="207"/>
      <c r="E45" s="207"/>
      <c r="F45" s="207"/>
      <c r="G45" s="207"/>
      <c r="H45" s="207"/>
      <c r="I45" s="207"/>
      <c r="J45" s="207"/>
      <c r="K45" s="200"/>
      <c r="L45" s="208"/>
    </row>
    <row r="46" spans="1:12" ht="15.75">
      <c r="A46" s="222"/>
      <c r="B46" s="244"/>
      <c r="C46" s="200"/>
      <c r="D46" s="207"/>
      <c r="E46" s="207"/>
      <c r="F46" s="207"/>
      <c r="G46" s="207"/>
      <c r="H46" s="207"/>
      <c r="I46" s="207"/>
      <c r="J46" s="207"/>
      <c r="K46" s="200"/>
      <c r="L46" s="208"/>
    </row>
    <row r="47" spans="1:12">
      <c r="A47" s="222"/>
      <c r="C47" s="200"/>
      <c r="D47" s="207"/>
      <c r="E47" s="211"/>
      <c r="F47" s="211"/>
      <c r="G47" s="211"/>
      <c r="H47" s="211"/>
      <c r="I47" s="211"/>
      <c r="J47" s="207"/>
      <c r="K47" s="200"/>
      <c r="L47" s="200"/>
    </row>
    <row r="48" spans="1:12" ht="47.25">
      <c r="A48" s="222"/>
      <c r="B48" s="245" t="s">
        <v>326</v>
      </c>
      <c r="C48" s="200"/>
      <c r="D48" s="225" t="s">
        <v>293</v>
      </c>
      <c r="E48" s="226" t="s">
        <v>294</v>
      </c>
      <c r="F48" s="226" t="s">
        <v>295</v>
      </c>
      <c r="G48" s="226" t="s">
        <v>296</v>
      </c>
      <c r="H48" s="226" t="s">
        <v>297</v>
      </c>
      <c r="I48" s="226" t="s">
        <v>298</v>
      </c>
      <c r="J48" s="227" t="s">
        <v>299</v>
      </c>
      <c r="K48" s="200"/>
      <c r="L48" s="200"/>
    </row>
    <row r="49" spans="1:12">
      <c r="A49" s="222"/>
      <c r="B49" s="239" t="s">
        <v>327</v>
      </c>
      <c r="C49" s="200" t="s">
        <v>321</v>
      </c>
      <c r="D49" s="246">
        <v>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  <c r="K49" s="200"/>
      <c r="L49" s="200" t="s">
        <v>328</v>
      </c>
    </row>
    <row r="50" spans="1:12">
      <c r="A50" s="222"/>
      <c r="B50" s="239" t="s">
        <v>329</v>
      </c>
      <c r="C50" s="200" t="s">
        <v>321</v>
      </c>
      <c r="D50" s="246">
        <v>0</v>
      </c>
      <c r="E50" s="247">
        <v>0</v>
      </c>
      <c r="F50" s="247">
        <v>0</v>
      </c>
      <c r="G50" s="247">
        <v>0</v>
      </c>
      <c r="H50" s="247">
        <v>0</v>
      </c>
      <c r="I50" s="247">
        <v>0</v>
      </c>
      <c r="J50" s="247">
        <v>0</v>
      </c>
      <c r="K50" s="200"/>
      <c r="L50" s="200" t="s">
        <v>330</v>
      </c>
    </row>
    <row r="51" spans="1:12">
      <c r="A51" s="222"/>
      <c r="B51" s="239" t="s">
        <v>331</v>
      </c>
      <c r="C51" s="200" t="s">
        <v>321</v>
      </c>
      <c r="D51" s="246">
        <v>0</v>
      </c>
      <c r="E51" s="247">
        <v>0</v>
      </c>
      <c r="F51" s="247">
        <v>0</v>
      </c>
      <c r="G51" s="247">
        <v>0</v>
      </c>
      <c r="H51" s="247">
        <v>0</v>
      </c>
      <c r="I51" s="247">
        <v>0</v>
      </c>
      <c r="J51" s="247">
        <v>0</v>
      </c>
      <c r="K51" s="200"/>
      <c r="L51" s="208" t="s">
        <v>332</v>
      </c>
    </row>
    <row r="52" spans="1:12">
      <c r="A52" s="222"/>
      <c r="B52" s="239" t="s">
        <v>333</v>
      </c>
      <c r="C52" s="200" t="s">
        <v>321</v>
      </c>
      <c r="D52" s="246">
        <v>0</v>
      </c>
      <c r="E52" s="247">
        <v>0</v>
      </c>
      <c r="F52" s="247">
        <v>0</v>
      </c>
      <c r="G52" s="247">
        <v>0</v>
      </c>
      <c r="H52" s="247">
        <v>0</v>
      </c>
      <c r="I52" s="247">
        <v>0</v>
      </c>
      <c r="J52" s="247">
        <v>0</v>
      </c>
      <c r="K52" s="200"/>
      <c r="L52" s="200" t="s">
        <v>334</v>
      </c>
    </row>
    <row r="53" spans="1:12">
      <c r="A53" s="222"/>
      <c r="B53" s="239" t="s">
        <v>335</v>
      </c>
      <c r="C53" s="200" t="s">
        <v>321</v>
      </c>
      <c r="D53" s="246">
        <v>0</v>
      </c>
      <c r="E53" s="247">
        <v>0</v>
      </c>
      <c r="F53" s="247">
        <v>0</v>
      </c>
      <c r="G53" s="247">
        <v>0</v>
      </c>
      <c r="H53" s="247">
        <v>0</v>
      </c>
      <c r="I53" s="247">
        <v>0</v>
      </c>
      <c r="J53" s="247">
        <v>0</v>
      </c>
      <c r="K53" s="200"/>
      <c r="L53" s="200" t="s">
        <v>336</v>
      </c>
    </row>
    <row r="54" spans="1:12">
      <c r="A54" s="222"/>
      <c r="B54" s="239" t="s">
        <v>337</v>
      </c>
      <c r="C54" s="200" t="s">
        <v>321</v>
      </c>
      <c r="D54" s="246">
        <v>0</v>
      </c>
      <c r="E54" s="247">
        <v>0</v>
      </c>
      <c r="F54" s="247">
        <v>0</v>
      </c>
      <c r="G54" s="247">
        <v>0</v>
      </c>
      <c r="H54" s="247">
        <v>0</v>
      </c>
      <c r="I54" s="247">
        <v>0</v>
      </c>
      <c r="J54" s="247">
        <v>0</v>
      </c>
      <c r="K54" s="200"/>
      <c r="L54" s="200" t="s">
        <v>338</v>
      </c>
    </row>
    <row r="55" spans="1:12">
      <c r="A55" s="222"/>
      <c r="B55" s="239" t="s">
        <v>339</v>
      </c>
      <c r="C55" s="200" t="s">
        <v>321</v>
      </c>
      <c r="D55" s="248">
        <v>0</v>
      </c>
      <c r="E55" s="249">
        <v>0</v>
      </c>
      <c r="F55" s="249">
        <v>0</v>
      </c>
      <c r="G55" s="249">
        <v>0</v>
      </c>
      <c r="H55" s="249">
        <v>0</v>
      </c>
      <c r="I55" s="249">
        <v>0</v>
      </c>
      <c r="J55" s="249">
        <v>0</v>
      </c>
      <c r="K55" s="200"/>
      <c r="L55" s="200" t="s">
        <v>340</v>
      </c>
    </row>
    <row r="56" spans="1:12">
      <c r="B56" s="250" t="s">
        <v>341</v>
      </c>
      <c r="C56" s="200" t="s">
        <v>321</v>
      </c>
      <c r="D56" s="246">
        <v>0</v>
      </c>
      <c r="E56" s="247">
        <v>0</v>
      </c>
      <c r="F56" s="247">
        <v>0</v>
      </c>
      <c r="G56" s="247">
        <v>0</v>
      </c>
      <c r="H56" s="247">
        <v>0</v>
      </c>
      <c r="I56" s="247">
        <v>0</v>
      </c>
      <c r="J56" s="247">
        <v>0</v>
      </c>
      <c r="K56" s="200"/>
      <c r="L56" s="200" t="s">
        <v>342</v>
      </c>
    </row>
    <row r="57" spans="1:12">
      <c r="B57" s="250" t="s">
        <v>343</v>
      </c>
      <c r="C57" s="200" t="s">
        <v>321</v>
      </c>
      <c r="D57" s="246">
        <v>0</v>
      </c>
      <c r="E57" s="247">
        <v>0</v>
      </c>
      <c r="F57" s="247">
        <v>0</v>
      </c>
      <c r="G57" s="247">
        <v>0</v>
      </c>
      <c r="H57" s="247">
        <v>0</v>
      </c>
      <c r="I57" s="247">
        <v>0</v>
      </c>
      <c r="J57" s="247">
        <v>0</v>
      </c>
      <c r="K57" s="200"/>
      <c r="L57" s="194" t="s">
        <v>344</v>
      </c>
    </row>
    <row r="58" spans="1:12">
      <c r="A58" s="222"/>
      <c r="B58" s="239" t="s">
        <v>345</v>
      </c>
      <c r="C58" s="200" t="s">
        <v>321</v>
      </c>
      <c r="D58" s="251">
        <v>0</v>
      </c>
      <c r="E58" s="252">
        <v>0</v>
      </c>
      <c r="F58" s="252">
        <v>0</v>
      </c>
      <c r="G58" s="252">
        <v>0</v>
      </c>
      <c r="H58" s="252">
        <v>0</v>
      </c>
      <c r="I58" s="252">
        <v>0</v>
      </c>
      <c r="J58" s="252">
        <v>0</v>
      </c>
      <c r="L58" s="194" t="s">
        <v>346</v>
      </c>
    </row>
    <row r="59" spans="1:12">
      <c r="A59" s="222"/>
      <c r="B59" s="253" t="s">
        <v>347</v>
      </c>
      <c r="C59" s="200" t="s">
        <v>321</v>
      </c>
      <c r="D59" s="246">
        <v>0</v>
      </c>
      <c r="E59" s="247">
        <v>0</v>
      </c>
      <c r="F59" s="247">
        <v>0</v>
      </c>
      <c r="G59" s="247">
        <v>0</v>
      </c>
      <c r="H59" s="247">
        <v>0</v>
      </c>
      <c r="I59" s="247">
        <v>0</v>
      </c>
      <c r="J59" s="247">
        <v>0</v>
      </c>
      <c r="K59" s="200"/>
      <c r="L59" s="194" t="s">
        <v>348</v>
      </c>
    </row>
    <row r="60" spans="1:12">
      <c r="A60" s="222"/>
      <c r="B60" s="253" t="s">
        <v>349</v>
      </c>
      <c r="C60" s="200" t="s">
        <v>321</v>
      </c>
      <c r="D60" s="246">
        <v>0</v>
      </c>
      <c r="E60" s="247">
        <v>0</v>
      </c>
      <c r="F60" s="247">
        <v>0</v>
      </c>
      <c r="G60" s="247">
        <v>0</v>
      </c>
      <c r="H60" s="247">
        <v>0</v>
      </c>
      <c r="I60" s="247">
        <v>0</v>
      </c>
      <c r="J60" s="247">
        <v>0</v>
      </c>
      <c r="K60" s="200"/>
      <c r="L60" s="194" t="s">
        <v>348</v>
      </c>
    </row>
    <row r="61" spans="1:12">
      <c r="A61" s="222"/>
      <c r="B61" s="239" t="s">
        <v>350</v>
      </c>
      <c r="C61" s="200" t="s">
        <v>321</v>
      </c>
      <c r="D61" s="246">
        <v>0</v>
      </c>
      <c r="E61" s="247">
        <v>0</v>
      </c>
      <c r="F61" s="247">
        <v>0</v>
      </c>
      <c r="G61" s="247">
        <v>0</v>
      </c>
      <c r="H61" s="247">
        <v>0</v>
      </c>
      <c r="I61" s="247">
        <v>0</v>
      </c>
      <c r="J61" s="247">
        <v>0</v>
      </c>
      <c r="K61" s="200"/>
      <c r="L61" s="200" t="s">
        <v>351</v>
      </c>
    </row>
    <row r="62" spans="1:12">
      <c r="A62" s="222"/>
      <c r="B62" s="239" t="s">
        <v>352</v>
      </c>
      <c r="C62" s="200" t="s">
        <v>321</v>
      </c>
      <c r="D62" s="246">
        <v>0</v>
      </c>
      <c r="E62" s="247">
        <v>0</v>
      </c>
      <c r="F62" s="247">
        <v>0</v>
      </c>
      <c r="G62" s="247">
        <v>0</v>
      </c>
      <c r="H62" s="247">
        <v>0</v>
      </c>
      <c r="I62" s="247">
        <v>0</v>
      </c>
      <c r="J62" s="247">
        <v>0</v>
      </c>
      <c r="K62" s="200"/>
      <c r="L62" s="200" t="s">
        <v>353</v>
      </c>
    </row>
    <row r="63" spans="1:12">
      <c r="A63" s="222"/>
      <c r="B63" s="239" t="s">
        <v>354</v>
      </c>
      <c r="C63" s="200" t="s">
        <v>321</v>
      </c>
      <c r="D63" s="246">
        <v>0</v>
      </c>
      <c r="E63" s="247">
        <v>402000</v>
      </c>
      <c r="F63" s="247">
        <v>0</v>
      </c>
      <c r="G63" s="247">
        <v>0</v>
      </c>
      <c r="H63" s="247">
        <v>0</v>
      </c>
      <c r="I63" s="247">
        <v>0</v>
      </c>
      <c r="J63" s="247">
        <v>0</v>
      </c>
      <c r="K63" s="200"/>
      <c r="L63" s="200" t="s">
        <v>355</v>
      </c>
    </row>
    <row r="64" spans="1:12">
      <c r="A64" s="222"/>
      <c r="B64" s="239" t="s">
        <v>356</v>
      </c>
      <c r="C64" s="200" t="s">
        <v>321</v>
      </c>
      <c r="D64" s="246">
        <v>0</v>
      </c>
      <c r="E64" s="247">
        <v>305000</v>
      </c>
      <c r="F64" s="247">
        <v>0</v>
      </c>
      <c r="G64" s="247">
        <v>0</v>
      </c>
      <c r="H64" s="247">
        <v>0</v>
      </c>
      <c r="I64" s="247">
        <v>0</v>
      </c>
      <c r="J64" s="246">
        <v>0</v>
      </c>
      <c r="K64" s="200"/>
      <c r="L64" s="200" t="s">
        <v>357</v>
      </c>
    </row>
    <row r="65" spans="1:19" ht="15.75">
      <c r="A65" s="222"/>
      <c r="B65" s="240" t="s">
        <v>309</v>
      </c>
      <c r="C65" s="200"/>
      <c r="D65" s="254">
        <f t="shared" ref="D65:J65" si="3">SUM(D49:D64)</f>
        <v>0</v>
      </c>
      <c r="E65" s="254">
        <f t="shared" si="3"/>
        <v>707000</v>
      </c>
      <c r="F65" s="254">
        <f t="shared" si="3"/>
        <v>0</v>
      </c>
      <c r="G65" s="254">
        <f t="shared" si="3"/>
        <v>0</v>
      </c>
      <c r="H65" s="254">
        <f t="shared" si="3"/>
        <v>0</v>
      </c>
      <c r="I65" s="254">
        <f t="shared" si="3"/>
        <v>0</v>
      </c>
      <c r="J65" s="254">
        <f t="shared" si="3"/>
        <v>0</v>
      </c>
      <c r="K65" s="200"/>
      <c r="L65" s="200"/>
    </row>
    <row r="66" spans="1:19" ht="15.75">
      <c r="A66" s="222"/>
      <c r="B66" s="244"/>
      <c r="C66" s="200"/>
      <c r="D66" s="207"/>
      <c r="E66" s="207"/>
      <c r="F66" s="207"/>
      <c r="G66" s="207"/>
      <c r="H66" s="207"/>
      <c r="I66" s="207"/>
      <c r="J66" s="207"/>
      <c r="K66" s="200"/>
      <c r="L66" s="200"/>
    </row>
    <row r="67" spans="1:19" ht="15.75">
      <c r="A67" s="222"/>
      <c r="B67" s="255" t="s">
        <v>358</v>
      </c>
      <c r="C67" s="200"/>
      <c r="D67" s="207"/>
      <c r="E67" s="211"/>
      <c r="F67" s="211"/>
      <c r="G67" s="211"/>
      <c r="H67" s="211"/>
      <c r="I67" s="211"/>
      <c r="J67" s="207"/>
      <c r="K67" s="200"/>
      <c r="L67" s="200"/>
    </row>
    <row r="68" spans="1:19">
      <c r="A68" s="222"/>
      <c r="B68" s="233" t="s">
        <v>359</v>
      </c>
      <c r="C68" s="200" t="s">
        <v>301</v>
      </c>
      <c r="D68" s="207">
        <v>25000</v>
      </c>
      <c r="E68" s="211">
        <v>35000</v>
      </c>
      <c r="F68" s="211">
        <v>35000</v>
      </c>
      <c r="G68" s="211">
        <v>35000</v>
      </c>
      <c r="H68" s="211">
        <v>50000</v>
      </c>
      <c r="I68" s="211">
        <v>50000</v>
      </c>
      <c r="J68" s="207">
        <v>50000</v>
      </c>
      <c r="K68" s="200"/>
      <c r="L68" s="200" t="s">
        <v>360</v>
      </c>
    </row>
    <row r="69" spans="1:19">
      <c r="A69" s="222"/>
      <c r="B69" s="233" t="s">
        <v>361</v>
      </c>
      <c r="C69" s="200" t="s">
        <v>301</v>
      </c>
      <c r="D69" s="207">
        <v>0</v>
      </c>
      <c r="E69" s="211">
        <v>0</v>
      </c>
      <c r="F69" s="211">
        <v>0</v>
      </c>
      <c r="G69" s="211">
        <v>0</v>
      </c>
      <c r="H69" s="211">
        <v>20000</v>
      </c>
      <c r="I69" s="211">
        <v>20000</v>
      </c>
      <c r="J69" s="211">
        <v>20000</v>
      </c>
      <c r="K69" s="200"/>
      <c r="L69" s="200" t="s">
        <v>115</v>
      </c>
    </row>
    <row r="70" spans="1:19">
      <c r="A70" s="222"/>
      <c r="B70" s="233" t="s">
        <v>362</v>
      </c>
      <c r="C70" s="200" t="s">
        <v>301</v>
      </c>
      <c r="D70" s="207">
        <v>0</v>
      </c>
      <c r="E70" s="211">
        <v>107000</v>
      </c>
      <c r="F70" s="211">
        <v>107000</v>
      </c>
      <c r="G70" s="211">
        <v>107000</v>
      </c>
      <c r="H70" s="211">
        <v>200000</v>
      </c>
      <c r="I70" s="211">
        <v>200000</v>
      </c>
      <c r="J70" s="211">
        <v>200000</v>
      </c>
      <c r="K70" s="200"/>
      <c r="L70" s="194" t="s">
        <v>363</v>
      </c>
    </row>
    <row r="71" spans="1:19">
      <c r="A71" s="222"/>
      <c r="B71" s="233"/>
      <c r="C71" s="200"/>
      <c r="D71" s="207"/>
      <c r="E71" s="211"/>
      <c r="F71" s="211"/>
      <c r="G71" s="211"/>
      <c r="H71" s="211"/>
      <c r="I71" s="211"/>
      <c r="J71" s="207"/>
      <c r="K71" s="200"/>
      <c r="L71" s="200"/>
    </row>
    <row r="72" spans="1:19">
      <c r="A72" s="222"/>
      <c r="B72" s="233"/>
      <c r="C72" s="200"/>
      <c r="D72" s="207"/>
      <c r="E72" s="211"/>
      <c r="F72" s="211"/>
      <c r="G72" s="211"/>
      <c r="H72" s="211"/>
      <c r="I72" s="211"/>
      <c r="J72" s="207"/>
      <c r="K72" s="200"/>
      <c r="L72" s="200"/>
    </row>
    <row r="73" spans="1:19" ht="15.75" customHeight="1">
      <c r="A73" s="222"/>
      <c r="B73" s="256" t="s">
        <v>309</v>
      </c>
      <c r="C73" s="200"/>
      <c r="D73" s="232">
        <f>SUM(D68:D72)</f>
        <v>25000</v>
      </c>
      <c r="E73" s="232">
        <f t="shared" ref="E73:J73" si="4">SUM(E68:E72)</f>
        <v>142000</v>
      </c>
      <c r="F73" s="232">
        <f t="shared" si="4"/>
        <v>142000</v>
      </c>
      <c r="G73" s="232">
        <f t="shared" si="4"/>
        <v>142000</v>
      </c>
      <c r="H73" s="232">
        <f t="shared" si="4"/>
        <v>270000</v>
      </c>
      <c r="I73" s="232">
        <f t="shared" si="4"/>
        <v>270000</v>
      </c>
      <c r="J73" s="232">
        <f t="shared" si="4"/>
        <v>270000</v>
      </c>
      <c r="K73" s="200"/>
      <c r="L73" s="200"/>
    </row>
    <row r="74" spans="1:19" ht="17.25" customHeight="1">
      <c r="A74" s="222"/>
      <c r="C74" s="200"/>
      <c r="D74" s="200"/>
      <c r="E74" s="202"/>
      <c r="F74" s="202"/>
      <c r="G74" s="202"/>
      <c r="H74" s="202"/>
      <c r="I74" s="202"/>
      <c r="J74" s="200"/>
      <c r="K74" s="200"/>
      <c r="L74" s="200"/>
      <c r="M74" s="200"/>
      <c r="N74" s="200"/>
      <c r="O74" s="200"/>
      <c r="P74" s="200"/>
      <c r="Q74" s="200"/>
      <c r="R74" s="200"/>
      <c r="S74" s="200"/>
    </row>
    <row r="75" spans="1:19" ht="15" customHeight="1">
      <c r="A75" s="222"/>
      <c r="B75" s="200"/>
      <c r="C75" s="200"/>
      <c r="D75" s="207"/>
      <c r="E75" s="211"/>
      <c r="F75" s="211"/>
      <c r="G75" s="211"/>
      <c r="H75" s="211"/>
      <c r="I75" s="211"/>
      <c r="J75" s="207"/>
      <c r="K75" s="200"/>
      <c r="L75" s="200"/>
    </row>
    <row r="76" spans="1:19" ht="23.25" customHeight="1">
      <c r="A76" s="222"/>
      <c r="B76" s="257" t="s">
        <v>364</v>
      </c>
      <c r="C76" s="200"/>
      <c r="D76" s="207"/>
      <c r="E76" s="211"/>
      <c r="F76" s="211"/>
      <c r="G76" s="211"/>
      <c r="H76" s="211"/>
      <c r="I76" s="211"/>
      <c r="J76" s="207"/>
      <c r="K76" s="200"/>
      <c r="L76" s="200"/>
    </row>
    <row r="77" spans="1:19">
      <c r="A77" s="222"/>
      <c r="B77" s="200"/>
      <c r="C77" s="200"/>
      <c r="D77" s="207"/>
      <c r="E77" s="211"/>
      <c r="F77" s="211"/>
      <c r="G77" s="211"/>
      <c r="H77" s="211"/>
      <c r="I77" s="211"/>
      <c r="J77" s="207"/>
      <c r="K77" s="200"/>
      <c r="L77" s="200"/>
    </row>
    <row r="78" spans="1:19">
      <c r="A78" s="222"/>
      <c r="B78" s="233" t="s">
        <v>365</v>
      </c>
      <c r="C78" s="200" t="s">
        <v>313</v>
      </c>
      <c r="D78" s="207">
        <v>46000</v>
      </c>
      <c r="E78" s="202">
        <v>0</v>
      </c>
      <c r="F78" s="211"/>
      <c r="G78" s="211"/>
      <c r="H78" s="211"/>
      <c r="I78" s="211"/>
      <c r="J78" s="200"/>
      <c r="K78" s="200"/>
      <c r="L78" s="200" t="s">
        <v>366</v>
      </c>
    </row>
    <row r="79" spans="1:19">
      <c r="A79" s="222"/>
      <c r="B79" s="233" t="s">
        <v>44</v>
      </c>
      <c r="C79" s="200" t="s">
        <v>313</v>
      </c>
      <c r="D79" s="200">
        <v>0</v>
      </c>
      <c r="E79" s="211">
        <v>100000</v>
      </c>
      <c r="F79" s="211"/>
      <c r="G79" s="211"/>
      <c r="H79" s="211"/>
      <c r="I79" s="211"/>
      <c r="J79" s="200"/>
      <c r="K79" s="200"/>
      <c r="L79" s="200" t="s">
        <v>366</v>
      </c>
    </row>
    <row r="80" spans="1:19">
      <c r="A80" s="222"/>
      <c r="B80" s="233" t="s">
        <v>367</v>
      </c>
      <c r="C80" s="200" t="s">
        <v>313</v>
      </c>
      <c r="D80" s="207">
        <v>0</v>
      </c>
      <c r="E80" s="211">
        <v>107000</v>
      </c>
      <c r="F80" s="211">
        <v>112500</v>
      </c>
      <c r="G80" s="211">
        <v>0</v>
      </c>
      <c r="H80" s="211">
        <v>0</v>
      </c>
      <c r="I80" s="211">
        <v>0</v>
      </c>
      <c r="J80" s="207">
        <v>0</v>
      </c>
      <c r="K80" s="200"/>
      <c r="L80" s="200" t="s">
        <v>368</v>
      </c>
    </row>
    <row r="81" spans="1:12">
      <c r="A81" s="222"/>
      <c r="B81" s="233" t="s">
        <v>369</v>
      </c>
      <c r="C81" s="200" t="s">
        <v>313</v>
      </c>
      <c r="D81" s="207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200000</v>
      </c>
      <c r="J81" s="207">
        <v>200000</v>
      </c>
      <c r="K81" s="200"/>
      <c r="L81" s="200" t="s">
        <v>370</v>
      </c>
    </row>
    <row r="82" spans="1:12" ht="15.75">
      <c r="A82" s="222"/>
      <c r="B82" s="258" t="s">
        <v>371</v>
      </c>
      <c r="C82" s="259"/>
      <c r="D82" s="232">
        <f>SUM(D78:D81)</f>
        <v>46000</v>
      </c>
      <c r="E82" s="232">
        <f t="shared" ref="E82:J82" si="5">SUM(E78:E81)</f>
        <v>207000</v>
      </c>
      <c r="F82" s="232">
        <f t="shared" si="5"/>
        <v>112500</v>
      </c>
      <c r="G82" s="232">
        <f t="shared" si="5"/>
        <v>0</v>
      </c>
      <c r="H82" s="232">
        <f t="shared" si="5"/>
        <v>0</v>
      </c>
      <c r="I82" s="232">
        <f t="shared" si="5"/>
        <v>200000</v>
      </c>
      <c r="J82" s="232">
        <f t="shared" si="5"/>
        <v>200000</v>
      </c>
      <c r="K82" s="200"/>
      <c r="L82" s="200"/>
    </row>
    <row r="83" spans="1:12">
      <c r="A83" s="222"/>
      <c r="B83" s="200"/>
      <c r="C83" s="259"/>
      <c r="D83" s="200"/>
      <c r="E83" s="202"/>
      <c r="F83" s="202"/>
      <c r="G83" s="202"/>
      <c r="H83" s="202"/>
      <c r="I83" s="202"/>
      <c r="J83" s="200"/>
      <c r="K83" s="200"/>
      <c r="L83" s="200"/>
    </row>
    <row r="84" spans="1:12" ht="15.75">
      <c r="A84" s="222"/>
      <c r="B84" s="228"/>
      <c r="C84" s="259"/>
      <c r="D84" s="200"/>
      <c r="E84" s="202"/>
      <c r="F84" s="202"/>
      <c r="G84" s="202"/>
      <c r="H84" s="202"/>
      <c r="I84" s="202"/>
      <c r="J84" s="200"/>
      <c r="K84" s="200"/>
    </row>
    <row r="85" spans="1:12" ht="15.75">
      <c r="A85" s="222"/>
      <c r="B85" s="260" t="s">
        <v>372</v>
      </c>
      <c r="C85" s="259"/>
      <c r="D85" s="207">
        <f>D39+D40</f>
        <v>153000</v>
      </c>
      <c r="E85" s="207">
        <f t="shared" ref="E85:J85" si="6">E39+E40</f>
        <v>707000</v>
      </c>
      <c r="F85" s="207">
        <f t="shared" si="6"/>
        <v>1921000</v>
      </c>
      <c r="G85" s="207">
        <f t="shared" si="6"/>
        <v>2440000</v>
      </c>
      <c r="H85" s="207">
        <f t="shared" si="6"/>
        <v>3040000</v>
      </c>
      <c r="I85" s="207">
        <f t="shared" si="6"/>
        <v>3040000</v>
      </c>
      <c r="J85" s="207">
        <f t="shared" si="6"/>
        <v>3040000</v>
      </c>
      <c r="K85" s="200"/>
    </row>
    <row r="86" spans="1:12" ht="15.75">
      <c r="A86" s="222"/>
      <c r="B86" s="261" t="s">
        <v>373</v>
      </c>
      <c r="C86" s="259"/>
      <c r="D86" s="207">
        <f t="shared" ref="D86:J86" si="7">D29+D31+D32+D33+D73</f>
        <v>260000</v>
      </c>
      <c r="E86" s="207">
        <f t="shared" si="7"/>
        <v>600000</v>
      </c>
      <c r="F86" s="207">
        <f t="shared" si="7"/>
        <v>538500</v>
      </c>
      <c r="G86" s="207">
        <f t="shared" si="7"/>
        <v>566000</v>
      </c>
      <c r="H86" s="207">
        <f t="shared" si="7"/>
        <v>935000</v>
      </c>
      <c r="I86" s="207">
        <f t="shared" si="7"/>
        <v>936000</v>
      </c>
      <c r="J86" s="207">
        <f t="shared" si="7"/>
        <v>936000</v>
      </c>
      <c r="K86" s="200"/>
    </row>
    <row r="87" spans="1:12" ht="15.75">
      <c r="A87" s="222"/>
      <c r="B87" s="261" t="s">
        <v>374</v>
      </c>
      <c r="C87" s="259"/>
      <c r="D87" s="207">
        <f t="shared" ref="D87:J87" si="8">D34+D35+D36+D37+D82</f>
        <v>753000</v>
      </c>
      <c r="E87" s="207">
        <f t="shared" si="8"/>
        <v>1237600</v>
      </c>
      <c r="F87" s="207">
        <f t="shared" si="8"/>
        <v>1397600</v>
      </c>
      <c r="G87" s="207">
        <f t="shared" si="8"/>
        <v>1285100</v>
      </c>
      <c r="H87" s="207">
        <f t="shared" si="8"/>
        <v>1285100</v>
      </c>
      <c r="I87" s="207">
        <f t="shared" si="8"/>
        <v>1485100</v>
      </c>
      <c r="J87" s="207">
        <f t="shared" si="8"/>
        <v>1485100</v>
      </c>
      <c r="K87" s="200"/>
    </row>
    <row r="88" spans="1:12" ht="16.5" thickBot="1">
      <c r="A88" s="222"/>
      <c r="B88" s="258" t="s">
        <v>375</v>
      </c>
      <c r="C88" s="259"/>
      <c r="D88" s="243">
        <f>SUM(D85:D87)</f>
        <v>1166000</v>
      </c>
      <c r="E88" s="243">
        <f t="shared" ref="E88:J88" si="9">SUM(E85:E87)</f>
        <v>2544600</v>
      </c>
      <c r="F88" s="243">
        <f t="shared" si="9"/>
        <v>3857100</v>
      </c>
      <c r="G88" s="243">
        <f t="shared" si="9"/>
        <v>4291100</v>
      </c>
      <c r="H88" s="243">
        <f t="shared" si="9"/>
        <v>5260100</v>
      </c>
      <c r="I88" s="243">
        <f t="shared" si="9"/>
        <v>5461100</v>
      </c>
      <c r="J88" s="243">
        <f t="shared" si="9"/>
        <v>5461100</v>
      </c>
      <c r="K88" s="200"/>
    </row>
    <row r="89" spans="1:12">
      <c r="A89" s="222"/>
    </row>
    <row r="90" spans="1:12">
      <c r="A90" s="222"/>
    </row>
    <row r="91" spans="1:12" ht="15.75" thickBot="1">
      <c r="A91" s="222"/>
      <c r="B91" s="263"/>
      <c r="C91" s="216"/>
      <c r="D91" s="217"/>
      <c r="E91" s="218"/>
      <c r="F91" s="218"/>
      <c r="G91" s="218"/>
      <c r="H91" s="218"/>
      <c r="I91" s="218"/>
      <c r="J91" s="217"/>
      <c r="K91" s="217"/>
      <c r="L91" s="217"/>
    </row>
    <row r="94" spans="1:12" ht="15.75">
      <c r="B94" s="264" t="s">
        <v>376</v>
      </c>
    </row>
  </sheetData>
  <mergeCells count="2">
    <mergeCell ref="B7:E7"/>
    <mergeCell ref="B17:C17"/>
  </mergeCells>
  <pageMargins left="0.35433070866141736" right="0.15748031496062992" top="0.74803149606299213" bottom="1.1417322834645669" header="0.31496062992125984" footer="0.31496062992125984"/>
  <pageSetup paperSize="9" scale="55" fitToHeight="2" orientation="landscape" r:id="rId1"/>
  <headerFooter>
    <oddHeader>&amp;R&amp;"Arial,Bold"&amp;12APPENDIX C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74"/>
  <sheetViews>
    <sheetView topLeftCell="A31" zoomScale="90" zoomScaleNormal="90" workbookViewId="0">
      <selection activeCell="H14" sqref="H14"/>
    </sheetView>
  </sheetViews>
  <sheetFormatPr defaultColWidth="9.140625" defaultRowHeight="15"/>
  <cols>
    <col min="1" max="1" width="40.42578125" style="2" customWidth="1"/>
    <col min="2" max="2" width="6" style="8" customWidth="1"/>
    <col min="3" max="3" width="14.85546875" style="2" bestFit="1" customWidth="1"/>
    <col min="4" max="4" width="14.28515625" style="2" bestFit="1" customWidth="1"/>
    <col min="5" max="5" width="13.140625" style="2" bestFit="1" customWidth="1"/>
    <col min="6" max="6" width="14.7109375" style="2" bestFit="1" customWidth="1"/>
    <col min="7" max="7" width="12.7109375" style="2" customWidth="1"/>
    <col min="8" max="8" width="14.140625" style="2" bestFit="1" customWidth="1"/>
    <col min="9" max="9" width="12.42578125" style="2" customWidth="1"/>
    <col min="10" max="10" width="9.7109375" style="2" bestFit="1" customWidth="1"/>
    <col min="11" max="16384" width="9.140625" style="2"/>
  </cols>
  <sheetData>
    <row r="1" spans="1:9" ht="15.75">
      <c r="A1" s="6" t="s">
        <v>263</v>
      </c>
      <c r="I1" s="3" t="s">
        <v>123</v>
      </c>
    </row>
    <row r="2" spans="1:9">
      <c r="F2" s="2" t="s">
        <v>6</v>
      </c>
    </row>
    <row r="3" spans="1:9" ht="15.75">
      <c r="A3" s="1"/>
    </row>
    <row r="4" spans="1:9" ht="15.75">
      <c r="A4" s="303" t="s">
        <v>14</v>
      </c>
      <c r="B4" s="307"/>
      <c r="C4" s="328" t="s">
        <v>22</v>
      </c>
      <c r="D4" s="305" t="s">
        <v>22</v>
      </c>
      <c r="E4" s="306" t="s">
        <v>24</v>
      </c>
      <c r="F4" s="305" t="s">
        <v>34</v>
      </c>
      <c r="G4" s="307" t="s">
        <v>0</v>
      </c>
      <c r="H4" s="307" t="s">
        <v>34</v>
      </c>
      <c r="I4" s="307" t="s">
        <v>0</v>
      </c>
    </row>
    <row r="5" spans="1:9" ht="15.75">
      <c r="A5" s="329"/>
      <c r="B5" s="330"/>
      <c r="C5" s="331" t="s">
        <v>8</v>
      </c>
      <c r="D5" s="310" t="s">
        <v>23</v>
      </c>
      <c r="E5" s="311"/>
      <c r="F5" s="310" t="s">
        <v>33</v>
      </c>
      <c r="G5" s="312"/>
      <c r="H5" s="312" t="s">
        <v>33</v>
      </c>
      <c r="I5" s="312"/>
    </row>
    <row r="6" spans="1:9" ht="15.75">
      <c r="A6" s="329"/>
      <c r="B6" s="330"/>
      <c r="C6" s="331"/>
      <c r="D6" s="310"/>
      <c r="E6" s="311"/>
      <c r="F6" s="310" t="s">
        <v>507</v>
      </c>
      <c r="G6" s="312"/>
      <c r="H6" s="312" t="s">
        <v>508</v>
      </c>
      <c r="I6" s="312"/>
    </row>
    <row r="7" spans="1:9" ht="15.75">
      <c r="A7" s="340" t="s">
        <v>264</v>
      </c>
      <c r="B7" s="330"/>
      <c r="C7" s="331" t="s">
        <v>7</v>
      </c>
      <c r="D7" s="310" t="s">
        <v>7</v>
      </c>
      <c r="E7" s="311" t="s">
        <v>7</v>
      </c>
      <c r="F7" s="310" t="s">
        <v>7</v>
      </c>
      <c r="G7" s="312" t="s">
        <v>7</v>
      </c>
      <c r="H7" s="312" t="s">
        <v>7</v>
      </c>
      <c r="I7" s="312" t="s">
        <v>7</v>
      </c>
    </row>
    <row r="8" spans="1:9" ht="15.75">
      <c r="A8" s="324"/>
      <c r="B8" s="341"/>
      <c r="C8" s="25"/>
      <c r="D8" s="15"/>
      <c r="E8" s="15"/>
      <c r="F8" s="324"/>
      <c r="G8" s="324"/>
      <c r="H8" s="324"/>
      <c r="I8" s="20"/>
    </row>
    <row r="9" spans="1:9" ht="15.75">
      <c r="A9" s="18" t="s">
        <v>4</v>
      </c>
      <c r="B9" s="5"/>
      <c r="C9" s="18">
        <v>33693200</v>
      </c>
      <c r="D9" s="18">
        <v>-14875200</v>
      </c>
      <c r="E9" s="18">
        <v>-5494500</v>
      </c>
      <c r="F9" s="18"/>
      <c r="G9" s="27">
        <f>SUM(C9:F9)</f>
        <v>13323500</v>
      </c>
      <c r="H9" s="18"/>
      <c r="I9" s="29">
        <f>SUM(G9:H9)</f>
        <v>13323500</v>
      </c>
    </row>
    <row r="10" spans="1:9" ht="15.75">
      <c r="A10" s="26" t="s">
        <v>52</v>
      </c>
      <c r="B10" s="342"/>
      <c r="C10" s="26">
        <f>32079624+2055</f>
        <v>32081679</v>
      </c>
      <c r="D10" s="26">
        <v>-13730039</v>
      </c>
      <c r="E10" s="26">
        <v>-5499287</v>
      </c>
      <c r="F10" s="26"/>
      <c r="G10" s="323">
        <f>SUM(C10:F10)</f>
        <v>12852353</v>
      </c>
      <c r="H10" s="26"/>
      <c r="I10" s="30">
        <f>SUM(G10:H10)</f>
        <v>12852353</v>
      </c>
    </row>
    <row r="11" spans="1:9" ht="5.25" customHeight="1">
      <c r="A11" s="26"/>
      <c r="B11" s="298"/>
      <c r="C11" s="26"/>
      <c r="D11" s="28"/>
      <c r="E11" s="26"/>
      <c r="F11" s="28"/>
      <c r="G11" s="296"/>
      <c r="H11" s="280"/>
      <c r="I11" s="296"/>
    </row>
    <row r="12" spans="1:9" ht="15.75">
      <c r="A12" s="323" t="s">
        <v>9</v>
      </c>
      <c r="B12" s="16"/>
      <c r="C12" s="297">
        <f>+C10-C9</f>
        <v>-1611521</v>
      </c>
      <c r="D12" s="293">
        <f>+D10-D9</f>
        <v>1145161</v>
      </c>
      <c r="E12" s="293">
        <f>+E10-E9</f>
        <v>-4787</v>
      </c>
      <c r="F12" s="293">
        <f>+F10-F9</f>
        <v>0</v>
      </c>
      <c r="G12" s="293">
        <f t="shared" ref="G12:I12" si="0">+G10-G9</f>
        <v>-471147</v>
      </c>
      <c r="H12" s="293">
        <f t="shared" si="0"/>
        <v>0</v>
      </c>
      <c r="I12" s="293">
        <f t="shared" si="0"/>
        <v>-471147</v>
      </c>
    </row>
    <row r="13" spans="1:9" ht="6.75" customHeight="1">
      <c r="A13" s="297"/>
      <c r="B13" s="24"/>
      <c r="C13" s="297"/>
      <c r="D13" s="293"/>
      <c r="E13" s="335"/>
      <c r="F13" s="293"/>
      <c r="G13" s="30"/>
      <c r="H13" s="30"/>
      <c r="I13" s="30"/>
    </row>
    <row r="14" spans="1:9" ht="15.75">
      <c r="A14" s="26" t="s">
        <v>447</v>
      </c>
      <c r="B14" s="16"/>
      <c r="C14" s="27"/>
      <c r="D14" s="29"/>
      <c r="E14" s="13"/>
      <c r="F14" s="42">
        <f>'Appendix B'!H32</f>
        <v>420699.88</v>
      </c>
      <c r="G14" s="30">
        <f>SUM(C14:F14)</f>
        <v>420699.88</v>
      </c>
      <c r="H14" s="28"/>
      <c r="I14" s="30">
        <f>SUM(G14:H14)</f>
        <v>420699.88</v>
      </c>
    </row>
    <row r="15" spans="1:9" ht="5.25" customHeight="1">
      <c r="A15" s="325"/>
      <c r="B15" s="326"/>
      <c r="C15" s="325"/>
      <c r="D15" s="42"/>
      <c r="E15" s="281"/>
      <c r="F15" s="28"/>
      <c r="G15" s="30"/>
      <c r="H15" s="28"/>
      <c r="I15" s="28"/>
    </row>
    <row r="16" spans="1:9" ht="16.5" thickBot="1">
      <c r="A16" s="31" t="s">
        <v>31</v>
      </c>
      <c r="B16" s="327"/>
      <c r="C16" s="31">
        <f>+C12+C15</f>
        <v>-1611521</v>
      </c>
      <c r="D16" s="32">
        <f>+D12+D15</f>
        <v>1145161</v>
      </c>
      <c r="E16" s="10">
        <f>+E12+E15</f>
        <v>-4787</v>
      </c>
      <c r="F16" s="32">
        <f>+F14+F15</f>
        <v>420699.88</v>
      </c>
      <c r="G16" s="32">
        <f t="shared" ref="G16:H16" si="1">+G14+G15</f>
        <v>420699.88</v>
      </c>
      <c r="H16" s="32">
        <f t="shared" si="1"/>
        <v>0</v>
      </c>
      <c r="I16" s="32">
        <f>SUM(I12:I14)</f>
        <v>-50447.119999999995</v>
      </c>
    </row>
    <row r="17" spans="1:10" ht="16.5" thickTop="1">
      <c r="A17" s="6"/>
      <c r="B17" s="4"/>
      <c r="C17" s="6"/>
      <c r="D17" s="6"/>
      <c r="E17" s="6"/>
      <c r="F17" s="6"/>
      <c r="G17" s="6"/>
      <c r="H17" s="6"/>
    </row>
    <row r="18" spans="1:10" ht="15.75">
      <c r="A18" s="6"/>
      <c r="B18" s="4"/>
      <c r="C18" s="6"/>
      <c r="D18" s="6"/>
      <c r="E18" s="6"/>
      <c r="F18" s="6"/>
      <c r="G18" s="6"/>
      <c r="H18" s="6"/>
    </row>
    <row r="19" spans="1:10" ht="15.75">
      <c r="C19" s="4"/>
      <c r="D19" s="4"/>
      <c r="E19" s="4"/>
      <c r="F19" s="4"/>
      <c r="G19" s="4"/>
      <c r="H19" s="4"/>
    </row>
    <row r="20" spans="1:10" ht="15.75">
      <c r="A20" s="303" t="s">
        <v>35</v>
      </c>
      <c r="B20" s="304"/>
      <c r="C20" s="305" t="s">
        <v>8</v>
      </c>
      <c r="D20" s="306" t="s">
        <v>23</v>
      </c>
      <c r="E20" s="305" t="s">
        <v>47</v>
      </c>
      <c r="F20" s="305" t="s">
        <v>34</v>
      </c>
      <c r="G20" s="307" t="s">
        <v>32</v>
      </c>
      <c r="H20" s="307" t="s">
        <v>34</v>
      </c>
      <c r="I20" s="307" t="s">
        <v>32</v>
      </c>
    </row>
    <row r="21" spans="1:10" ht="15.75">
      <c r="A21" s="308"/>
      <c r="B21" s="309"/>
      <c r="C21" s="310" t="s">
        <v>9</v>
      </c>
      <c r="D21" s="311" t="s">
        <v>9</v>
      </c>
      <c r="E21" s="310" t="s">
        <v>9</v>
      </c>
      <c r="F21" s="310" t="s">
        <v>33</v>
      </c>
      <c r="G21" s="312" t="s">
        <v>9</v>
      </c>
      <c r="H21" s="312" t="s">
        <v>33</v>
      </c>
      <c r="I21" s="312" t="s">
        <v>9</v>
      </c>
    </row>
    <row r="22" spans="1:10" ht="15.75">
      <c r="A22" s="308"/>
      <c r="B22" s="309"/>
      <c r="C22" s="310"/>
      <c r="D22" s="311"/>
      <c r="E22" s="310"/>
      <c r="F22" s="310"/>
      <c r="G22" s="312"/>
      <c r="H22" s="312" t="s">
        <v>508</v>
      </c>
      <c r="I22" s="312"/>
    </row>
    <row r="23" spans="1:10" ht="15" customHeight="1">
      <c r="A23" s="343" t="s">
        <v>12</v>
      </c>
      <c r="B23" s="348" t="s">
        <v>3</v>
      </c>
      <c r="C23" s="310" t="s">
        <v>7</v>
      </c>
      <c r="D23" s="311" t="s">
        <v>7</v>
      </c>
      <c r="E23" s="310" t="s">
        <v>7</v>
      </c>
      <c r="F23" s="310" t="s">
        <v>7</v>
      </c>
      <c r="G23" s="312" t="s">
        <v>7</v>
      </c>
      <c r="H23" s="312" t="s">
        <v>7</v>
      </c>
      <c r="I23" s="312" t="s">
        <v>7</v>
      </c>
    </row>
    <row r="24" spans="1:10" ht="15" customHeight="1">
      <c r="A24" s="344"/>
      <c r="B24" s="350"/>
      <c r="C24" s="354"/>
      <c r="D24" s="324"/>
      <c r="E24" s="354"/>
      <c r="F24" s="354"/>
      <c r="G24" s="354"/>
      <c r="H24" s="354"/>
      <c r="I24" s="33"/>
    </row>
    <row r="25" spans="1:10" ht="15" customHeight="1">
      <c r="A25" s="18" t="s">
        <v>65</v>
      </c>
      <c r="B25" s="351">
        <v>1</v>
      </c>
      <c r="C25" s="355">
        <v>-53715</v>
      </c>
      <c r="D25" s="18">
        <v>-955</v>
      </c>
      <c r="E25" s="357">
        <f t="shared" ref="E25:E54" si="2">SUM(C25:D25)</f>
        <v>-54670</v>
      </c>
      <c r="F25" s="18">
        <v>19600</v>
      </c>
      <c r="G25" s="18">
        <f>SUM(E25:F25)</f>
        <v>-35070</v>
      </c>
      <c r="H25" s="18"/>
      <c r="I25" s="34">
        <f>SUM(G25:H25)</f>
        <v>-35070</v>
      </c>
      <c r="J25" s="2" t="s">
        <v>382</v>
      </c>
    </row>
    <row r="26" spans="1:10" ht="15" customHeight="1">
      <c r="A26" s="18" t="s">
        <v>59</v>
      </c>
      <c r="B26" s="351">
        <v>2</v>
      </c>
      <c r="C26" s="355">
        <v>-5461</v>
      </c>
      <c r="D26" s="18">
        <f>-36111+27</f>
        <v>-36084</v>
      </c>
      <c r="E26" s="357">
        <f t="shared" si="2"/>
        <v>-41545</v>
      </c>
      <c r="F26" s="18"/>
      <c r="G26" s="18">
        <f t="shared" ref="G26:G54" si="3">SUM(E26:F26)</f>
        <v>-41545</v>
      </c>
      <c r="H26" s="18"/>
      <c r="I26" s="34">
        <f t="shared" ref="I26:I54" si="4">SUM(G26:H26)</f>
        <v>-41545</v>
      </c>
      <c r="J26" s="2" t="s">
        <v>379</v>
      </c>
    </row>
    <row r="27" spans="1:10" ht="15" customHeight="1">
      <c r="A27" s="18" t="s">
        <v>384</v>
      </c>
      <c r="B27" s="351">
        <v>3</v>
      </c>
      <c r="C27" s="355">
        <f>5676+216144</f>
        <v>221820</v>
      </c>
      <c r="D27" s="18">
        <f>-1297-213173</f>
        <v>-214470</v>
      </c>
      <c r="E27" s="357">
        <f t="shared" ref="E27" si="5">SUM(C27:D27)</f>
        <v>7350</v>
      </c>
      <c r="F27" s="18"/>
      <c r="G27" s="18">
        <f t="shared" si="3"/>
        <v>7350</v>
      </c>
      <c r="H27" s="18"/>
      <c r="I27" s="34">
        <f t="shared" si="4"/>
        <v>7350</v>
      </c>
      <c r="J27" s="2" t="s">
        <v>379</v>
      </c>
    </row>
    <row r="28" spans="1:10" ht="15" customHeight="1">
      <c r="A28" s="18" t="s">
        <v>386</v>
      </c>
      <c r="B28" s="351">
        <v>4</v>
      </c>
      <c r="C28" s="355">
        <v>26547</v>
      </c>
      <c r="D28" s="18">
        <v>-36776</v>
      </c>
      <c r="E28" s="357">
        <f t="shared" ref="E28" si="6">SUM(C28:D28)</f>
        <v>-10229</v>
      </c>
      <c r="F28" s="18"/>
      <c r="G28" s="18">
        <f t="shared" si="3"/>
        <v>-10229</v>
      </c>
      <c r="H28" s="18"/>
      <c r="I28" s="34">
        <f t="shared" si="4"/>
        <v>-10229</v>
      </c>
      <c r="J28" s="2" t="s">
        <v>379</v>
      </c>
    </row>
    <row r="29" spans="1:10" ht="15" customHeight="1">
      <c r="A29" s="18" t="s">
        <v>272</v>
      </c>
      <c r="B29" s="352">
        <v>5</v>
      </c>
      <c r="C29" s="355">
        <f>-2130+32433</f>
        <v>30303</v>
      </c>
      <c r="D29" s="18">
        <f>4045-9949</f>
        <v>-5904</v>
      </c>
      <c r="E29" s="357">
        <f>SUM(C29:D29)</f>
        <v>24399</v>
      </c>
      <c r="F29" s="18"/>
      <c r="G29" s="18">
        <f t="shared" si="3"/>
        <v>24399</v>
      </c>
      <c r="H29" s="18"/>
      <c r="I29" s="34">
        <f t="shared" si="4"/>
        <v>24399</v>
      </c>
      <c r="J29" s="2" t="s">
        <v>379</v>
      </c>
    </row>
    <row r="30" spans="1:10" ht="15" customHeight="1">
      <c r="A30" s="18" t="s">
        <v>26</v>
      </c>
      <c r="B30" s="352">
        <v>6</v>
      </c>
      <c r="C30" s="18">
        <v>64125</v>
      </c>
      <c r="D30" s="18">
        <f>-28259-3</f>
        <v>-28262</v>
      </c>
      <c r="E30" s="357">
        <f t="shared" si="2"/>
        <v>35863</v>
      </c>
      <c r="F30" s="18"/>
      <c r="G30" s="18">
        <f t="shared" si="3"/>
        <v>35863</v>
      </c>
      <c r="H30" s="18"/>
      <c r="I30" s="34">
        <f t="shared" si="4"/>
        <v>35863</v>
      </c>
      <c r="J30" s="2" t="s">
        <v>379</v>
      </c>
    </row>
    <row r="31" spans="1:10" ht="15" customHeight="1">
      <c r="A31" s="345" t="s">
        <v>93</v>
      </c>
      <c r="B31" s="352">
        <v>7</v>
      </c>
      <c r="C31" s="18">
        <f>-19009-987+37-2100-6026-7488</f>
        <v>-35573</v>
      </c>
      <c r="D31" s="18">
        <f>-10937+1844+4400+2100+35668-6520</f>
        <v>26555</v>
      </c>
      <c r="E31" s="357">
        <f t="shared" si="2"/>
        <v>-9018</v>
      </c>
      <c r="F31" s="18"/>
      <c r="G31" s="18">
        <f t="shared" si="3"/>
        <v>-9018</v>
      </c>
      <c r="H31" s="18"/>
      <c r="I31" s="34">
        <f t="shared" si="4"/>
        <v>-9018</v>
      </c>
      <c r="J31" s="2" t="s">
        <v>381</v>
      </c>
    </row>
    <row r="32" spans="1:10" ht="15" customHeight="1">
      <c r="A32" s="345" t="s">
        <v>42</v>
      </c>
      <c r="B32" s="352">
        <v>8</v>
      </c>
      <c r="C32" s="18">
        <v>-45126</v>
      </c>
      <c r="D32" s="18">
        <f>-6954</f>
        <v>-6954</v>
      </c>
      <c r="E32" s="357">
        <f t="shared" si="2"/>
        <v>-52080</v>
      </c>
      <c r="F32" s="18">
        <v>29000</v>
      </c>
      <c r="G32" s="18">
        <f t="shared" si="3"/>
        <v>-23080</v>
      </c>
      <c r="H32" s="18"/>
      <c r="I32" s="34">
        <f t="shared" si="4"/>
        <v>-23080</v>
      </c>
      <c r="J32" s="2" t="s">
        <v>381</v>
      </c>
    </row>
    <row r="33" spans="1:10" ht="15" customHeight="1">
      <c r="A33" s="345" t="s">
        <v>60</v>
      </c>
      <c r="B33" s="352">
        <v>9</v>
      </c>
      <c r="C33" s="18">
        <v>-300234</v>
      </c>
      <c r="D33" s="18">
        <f>321472-17</f>
        <v>321455</v>
      </c>
      <c r="E33" s="357">
        <f t="shared" si="2"/>
        <v>21221</v>
      </c>
      <c r="F33" s="18"/>
      <c r="G33" s="18">
        <f t="shared" si="3"/>
        <v>21221</v>
      </c>
      <c r="H33" s="18"/>
      <c r="I33" s="34">
        <f t="shared" si="4"/>
        <v>21221</v>
      </c>
      <c r="J33" s="2" t="s">
        <v>381</v>
      </c>
    </row>
    <row r="34" spans="1:10" ht="15" customHeight="1">
      <c r="A34" s="345" t="s">
        <v>270</v>
      </c>
      <c r="B34" s="352">
        <v>10</v>
      </c>
      <c r="C34" s="18">
        <f>11662-27073</f>
        <v>-15411</v>
      </c>
      <c r="D34" s="18">
        <v>-42692</v>
      </c>
      <c r="E34" s="357">
        <f t="shared" ref="E34" si="7">SUM(C34:D34)</f>
        <v>-58103</v>
      </c>
      <c r="F34" s="18">
        <v>14900</v>
      </c>
      <c r="G34" s="18">
        <f t="shared" si="3"/>
        <v>-43203</v>
      </c>
      <c r="H34" s="18"/>
      <c r="I34" s="34">
        <f t="shared" si="4"/>
        <v>-43203</v>
      </c>
      <c r="J34" s="2" t="s">
        <v>381</v>
      </c>
    </row>
    <row r="35" spans="1:10" ht="15" customHeight="1">
      <c r="A35" s="345" t="s">
        <v>385</v>
      </c>
      <c r="B35" s="352">
        <v>11</v>
      </c>
      <c r="C35" s="18">
        <f>19902+2213+2055</f>
        <v>24170</v>
      </c>
      <c r="D35" s="18">
        <f>-22470-1700</f>
        <v>-24170</v>
      </c>
      <c r="E35" s="357">
        <f>SUM(C35:D35)</f>
        <v>0</v>
      </c>
      <c r="F35" s="18"/>
      <c r="G35" s="18">
        <f t="shared" si="3"/>
        <v>0</v>
      </c>
      <c r="H35" s="18"/>
      <c r="I35" s="34">
        <f t="shared" si="4"/>
        <v>0</v>
      </c>
      <c r="J35" s="2" t="s">
        <v>381</v>
      </c>
    </row>
    <row r="36" spans="1:10" ht="15" customHeight="1">
      <c r="A36" s="345" t="s">
        <v>119</v>
      </c>
      <c r="B36" s="352">
        <v>12</v>
      </c>
      <c r="C36" s="18">
        <f>-97181+27073</f>
        <v>-70108</v>
      </c>
      <c r="D36" s="18">
        <v>60964</v>
      </c>
      <c r="E36" s="357">
        <f>SUM(C36:D36)</f>
        <v>-9144</v>
      </c>
      <c r="F36" s="18"/>
      <c r="G36" s="18">
        <f t="shared" si="3"/>
        <v>-9144</v>
      </c>
      <c r="H36" s="18"/>
      <c r="I36" s="34">
        <f t="shared" si="4"/>
        <v>-9144</v>
      </c>
      <c r="J36" s="2" t="s">
        <v>381</v>
      </c>
    </row>
    <row r="37" spans="1:10" ht="15" customHeight="1">
      <c r="A37" s="345" t="s">
        <v>274</v>
      </c>
      <c r="B37" s="352">
        <v>13</v>
      </c>
      <c r="C37" s="18">
        <v>-112558</v>
      </c>
      <c r="D37" s="18">
        <v>115875</v>
      </c>
      <c r="E37" s="357">
        <f t="shared" ref="E37" si="8">SUM(C37:D37)</f>
        <v>3317</v>
      </c>
      <c r="F37" s="18"/>
      <c r="G37" s="18">
        <f t="shared" si="3"/>
        <v>3317</v>
      </c>
      <c r="H37" s="18"/>
      <c r="I37" s="34">
        <f t="shared" si="4"/>
        <v>3317</v>
      </c>
      <c r="J37" s="2" t="s">
        <v>381</v>
      </c>
    </row>
    <row r="38" spans="1:10" ht="15" customHeight="1">
      <c r="A38" s="345" t="s">
        <v>70</v>
      </c>
      <c r="B38" s="352">
        <v>14</v>
      </c>
      <c r="C38" s="18">
        <v>-1246748</v>
      </c>
      <c r="D38" s="18">
        <f>1616806-3</f>
        <v>1616803</v>
      </c>
      <c r="E38" s="357">
        <f t="shared" si="2"/>
        <v>370055</v>
      </c>
      <c r="F38" s="18"/>
      <c r="G38" s="18">
        <f t="shared" si="3"/>
        <v>370055</v>
      </c>
      <c r="H38" s="18"/>
      <c r="I38" s="34">
        <f t="shared" si="4"/>
        <v>370055</v>
      </c>
      <c r="J38" s="2" t="s">
        <v>381</v>
      </c>
    </row>
    <row r="39" spans="1:10" ht="15" customHeight="1">
      <c r="A39" s="345" t="s">
        <v>61</v>
      </c>
      <c r="B39" s="352">
        <v>15</v>
      </c>
      <c r="C39" s="18">
        <v>-161815</v>
      </c>
      <c r="D39" s="18">
        <v>105326</v>
      </c>
      <c r="E39" s="357">
        <f t="shared" si="2"/>
        <v>-56489</v>
      </c>
      <c r="F39" s="18"/>
      <c r="G39" s="18">
        <f t="shared" si="3"/>
        <v>-56489</v>
      </c>
      <c r="H39" s="18"/>
      <c r="I39" s="34">
        <f t="shared" si="4"/>
        <v>-56489</v>
      </c>
      <c r="J39" s="2" t="s">
        <v>381</v>
      </c>
    </row>
    <row r="40" spans="1:10" ht="15" customHeight="1">
      <c r="A40" s="345" t="s">
        <v>62</v>
      </c>
      <c r="B40" s="352">
        <v>16</v>
      </c>
      <c r="C40" s="18">
        <v>-12944</v>
      </c>
      <c r="D40" s="18">
        <v>0</v>
      </c>
      <c r="E40" s="357">
        <f t="shared" si="2"/>
        <v>-12944</v>
      </c>
      <c r="F40" s="18">
        <v>8500</v>
      </c>
      <c r="G40" s="18">
        <f t="shared" si="3"/>
        <v>-4444</v>
      </c>
      <c r="H40" s="18"/>
      <c r="I40" s="34">
        <f t="shared" si="4"/>
        <v>-4444</v>
      </c>
      <c r="J40" s="2" t="s">
        <v>381</v>
      </c>
    </row>
    <row r="41" spans="1:10" ht="15" customHeight="1">
      <c r="A41" s="345" t="s">
        <v>271</v>
      </c>
      <c r="B41" s="352">
        <v>17</v>
      </c>
      <c r="C41" s="18">
        <v>-1443</v>
      </c>
      <c r="D41" s="18">
        <v>-53599</v>
      </c>
      <c r="E41" s="357">
        <f t="shared" ref="E41" si="9">SUM(C41:D41)</f>
        <v>-55042</v>
      </c>
      <c r="F41" s="18"/>
      <c r="G41" s="18">
        <f t="shared" si="3"/>
        <v>-55042</v>
      </c>
      <c r="H41" s="18"/>
      <c r="I41" s="34">
        <f t="shared" si="4"/>
        <v>-55042</v>
      </c>
      <c r="J41" s="2" t="s">
        <v>381</v>
      </c>
    </row>
    <row r="42" spans="1:10" ht="15" customHeight="1">
      <c r="A42" s="345" t="s">
        <v>40</v>
      </c>
      <c r="B42" s="352">
        <v>18</v>
      </c>
      <c r="C42" s="18">
        <v>-12591</v>
      </c>
      <c r="D42" s="18">
        <v>32440</v>
      </c>
      <c r="E42" s="357">
        <f t="shared" si="2"/>
        <v>19849</v>
      </c>
      <c r="F42" s="18"/>
      <c r="G42" s="18">
        <f t="shared" si="3"/>
        <v>19849</v>
      </c>
      <c r="H42" s="18"/>
      <c r="I42" s="34">
        <f t="shared" si="4"/>
        <v>19849</v>
      </c>
      <c r="J42" s="2" t="s">
        <v>381</v>
      </c>
    </row>
    <row r="43" spans="1:10" ht="15" customHeight="1">
      <c r="A43" s="345" t="s">
        <v>63</v>
      </c>
      <c r="B43" s="352">
        <v>19</v>
      </c>
      <c r="C43" s="18">
        <v>-51923</v>
      </c>
      <c r="D43" s="18">
        <v>0</v>
      </c>
      <c r="E43" s="357">
        <f t="shared" si="2"/>
        <v>-51923</v>
      </c>
      <c r="F43" s="18">
        <v>43400</v>
      </c>
      <c r="G43" s="18">
        <f t="shared" si="3"/>
        <v>-8523</v>
      </c>
      <c r="H43" s="18"/>
      <c r="I43" s="34">
        <f t="shared" si="4"/>
        <v>-8523</v>
      </c>
      <c r="J43" s="2" t="s">
        <v>381</v>
      </c>
    </row>
    <row r="44" spans="1:10" ht="15" customHeight="1">
      <c r="A44" s="345" t="s">
        <v>45</v>
      </c>
      <c r="B44" s="352">
        <v>20</v>
      </c>
      <c r="C44" s="18">
        <v>-119187</v>
      </c>
      <c r="D44" s="18">
        <f>17842-4747</f>
        <v>13095</v>
      </c>
      <c r="E44" s="357">
        <f t="shared" si="2"/>
        <v>-106092</v>
      </c>
      <c r="F44" s="18"/>
      <c r="G44" s="18">
        <f t="shared" si="3"/>
        <v>-106092</v>
      </c>
      <c r="H44" s="18"/>
      <c r="I44" s="34">
        <f t="shared" si="4"/>
        <v>-106092</v>
      </c>
      <c r="J44" s="2" t="s">
        <v>381</v>
      </c>
    </row>
    <row r="45" spans="1:10" ht="15" customHeight="1">
      <c r="A45" s="345" t="s">
        <v>46</v>
      </c>
      <c r="B45" s="352">
        <v>21</v>
      </c>
      <c r="C45" s="18">
        <v>-197486</v>
      </c>
      <c r="D45" s="18">
        <v>-39570</v>
      </c>
      <c r="E45" s="357">
        <f t="shared" si="2"/>
        <v>-237056</v>
      </c>
      <c r="F45" s="18"/>
      <c r="G45" s="18">
        <f t="shared" si="3"/>
        <v>-237056</v>
      </c>
      <c r="H45" s="18"/>
      <c r="I45" s="34">
        <f t="shared" si="4"/>
        <v>-237056</v>
      </c>
      <c r="J45" s="2" t="s">
        <v>381</v>
      </c>
    </row>
    <row r="46" spans="1:10" ht="15" customHeight="1">
      <c r="A46" s="345" t="s">
        <v>41</v>
      </c>
      <c r="B46" s="352">
        <v>22</v>
      </c>
      <c r="C46" s="18">
        <v>-186460</v>
      </c>
      <c r="D46" s="18">
        <f>5-8</f>
        <v>-3</v>
      </c>
      <c r="E46" s="357">
        <f t="shared" si="2"/>
        <v>-186463</v>
      </c>
      <c r="F46" s="18">
        <v>190900</v>
      </c>
      <c r="G46" s="18">
        <f t="shared" si="3"/>
        <v>4437</v>
      </c>
      <c r="H46" s="18"/>
      <c r="I46" s="34">
        <f t="shared" si="4"/>
        <v>4437</v>
      </c>
      <c r="J46" s="2" t="s">
        <v>377</v>
      </c>
    </row>
    <row r="47" spans="1:10" ht="15" customHeight="1">
      <c r="A47" s="345" t="s">
        <v>273</v>
      </c>
      <c r="B47" s="352">
        <v>23</v>
      </c>
      <c r="C47" s="18">
        <v>27576</v>
      </c>
      <c r="D47" s="18">
        <v>-6</v>
      </c>
      <c r="E47" s="357">
        <f t="shared" ref="E47" si="10">SUM(C47:D47)</f>
        <v>27570</v>
      </c>
      <c r="F47" s="18"/>
      <c r="G47" s="18">
        <f t="shared" si="3"/>
        <v>27570</v>
      </c>
      <c r="H47" s="18"/>
      <c r="I47" s="34">
        <f t="shared" si="4"/>
        <v>27570</v>
      </c>
      <c r="J47" s="2" t="s">
        <v>377</v>
      </c>
    </row>
    <row r="48" spans="1:10" ht="15" customHeight="1">
      <c r="A48" s="345" t="s">
        <v>94</v>
      </c>
      <c r="B48" s="352">
        <v>24</v>
      </c>
      <c r="C48" s="18">
        <v>40619</v>
      </c>
      <c r="D48" s="18">
        <v>-22788</v>
      </c>
      <c r="E48" s="357">
        <f>SUM(C48:D48)</f>
        <v>17831</v>
      </c>
      <c r="F48" s="18">
        <v>1800</v>
      </c>
      <c r="G48" s="18">
        <f t="shared" si="3"/>
        <v>19631</v>
      </c>
      <c r="H48" s="18"/>
      <c r="I48" s="34">
        <f t="shared" si="4"/>
        <v>19631</v>
      </c>
      <c r="J48" s="2" t="s">
        <v>377</v>
      </c>
    </row>
    <row r="49" spans="1:10" ht="15" customHeight="1">
      <c r="A49" s="345" t="s">
        <v>383</v>
      </c>
      <c r="B49" s="352">
        <v>25</v>
      </c>
      <c r="C49" s="18">
        <f>-23536-7746</f>
        <v>-31282</v>
      </c>
      <c r="D49" s="18">
        <f>11997+7708</f>
        <v>19705</v>
      </c>
      <c r="E49" s="357">
        <f t="shared" ref="E49" si="11">SUM(C49:D49)</f>
        <v>-11577</v>
      </c>
      <c r="F49" s="18"/>
      <c r="G49" s="18">
        <f t="shared" si="3"/>
        <v>-11577</v>
      </c>
      <c r="H49" s="18"/>
      <c r="I49" s="34">
        <f t="shared" si="4"/>
        <v>-11577</v>
      </c>
      <c r="J49" s="2" t="s">
        <v>377</v>
      </c>
    </row>
    <row r="50" spans="1:10" ht="15" customHeight="1">
      <c r="A50" s="345" t="s">
        <v>27</v>
      </c>
      <c r="B50" s="352">
        <v>26</v>
      </c>
      <c r="C50" s="18">
        <v>866043</v>
      </c>
      <c r="D50" s="18">
        <f>-796563</f>
        <v>-796563</v>
      </c>
      <c r="E50" s="357">
        <f t="shared" si="2"/>
        <v>69480</v>
      </c>
      <c r="F50" s="18"/>
      <c r="G50" s="18">
        <f t="shared" si="3"/>
        <v>69480</v>
      </c>
      <c r="H50" s="18"/>
      <c r="I50" s="34">
        <f t="shared" si="4"/>
        <v>69480</v>
      </c>
      <c r="J50" s="2" t="s">
        <v>377</v>
      </c>
    </row>
    <row r="51" spans="1:10" ht="15" customHeight="1">
      <c r="A51" s="345" t="s">
        <v>64</v>
      </c>
      <c r="B51" s="352">
        <v>27</v>
      </c>
      <c r="C51" s="18">
        <v>-151069</v>
      </c>
      <c r="D51" s="18">
        <v>136624</v>
      </c>
      <c r="E51" s="357">
        <f t="shared" si="2"/>
        <v>-14445</v>
      </c>
      <c r="F51" s="18">
        <v>22200</v>
      </c>
      <c r="G51" s="18">
        <f t="shared" si="3"/>
        <v>7755</v>
      </c>
      <c r="H51" s="18"/>
      <c r="I51" s="34">
        <f t="shared" si="4"/>
        <v>7755</v>
      </c>
      <c r="J51" s="2" t="s">
        <v>377</v>
      </c>
    </row>
    <row r="52" spans="1:10" ht="15" customHeight="1">
      <c r="A52" s="345" t="s">
        <v>269</v>
      </c>
      <c r="B52" s="352">
        <v>28</v>
      </c>
      <c r="C52" s="18">
        <v>-92258</v>
      </c>
      <c r="D52" s="18">
        <v>0</v>
      </c>
      <c r="E52" s="357">
        <f>SUM(C52:D52)</f>
        <v>-92258</v>
      </c>
      <c r="F52" s="18">
        <v>90400</v>
      </c>
      <c r="G52" s="18">
        <f t="shared" si="3"/>
        <v>-1858</v>
      </c>
      <c r="H52" s="18"/>
      <c r="I52" s="34">
        <f t="shared" si="4"/>
        <v>-1858</v>
      </c>
      <c r="J52" s="2" t="s">
        <v>377</v>
      </c>
    </row>
    <row r="53" spans="1:10" ht="15" customHeight="1">
      <c r="A53" s="18" t="s">
        <v>50</v>
      </c>
      <c r="B53" s="352">
        <v>29</v>
      </c>
      <c r="C53" s="18">
        <v>3703</v>
      </c>
      <c r="D53" s="18">
        <f>18447-4</f>
        <v>18443</v>
      </c>
      <c r="E53" s="357">
        <f t="shared" ref="E53" si="12">SUM(C53:D53)</f>
        <v>22146</v>
      </c>
      <c r="F53" s="18"/>
      <c r="G53" s="18">
        <f t="shared" si="3"/>
        <v>22146</v>
      </c>
      <c r="H53" s="18"/>
      <c r="I53" s="34">
        <f t="shared" si="4"/>
        <v>22146</v>
      </c>
      <c r="J53" s="2" t="s">
        <v>377</v>
      </c>
    </row>
    <row r="54" spans="1:10" ht="15" customHeight="1">
      <c r="A54" s="346" t="s">
        <v>21</v>
      </c>
      <c r="B54" s="353"/>
      <c r="C54" s="26">
        <f>C16-SUM(C25:C53)-C63</f>
        <v>-13035</v>
      </c>
      <c r="D54" s="26">
        <f>D16+E16-SUM(D25:D53)-D63</f>
        <v>-18115</v>
      </c>
      <c r="E54" s="358">
        <f t="shared" si="2"/>
        <v>-31150</v>
      </c>
      <c r="F54" s="26">
        <f>F14-SUM(F25:F53)-F63</f>
        <v>-0.11999999999534339</v>
      </c>
      <c r="G54" s="26">
        <f t="shared" si="3"/>
        <v>-31150.119999999995</v>
      </c>
      <c r="H54" s="26"/>
      <c r="I54" s="289">
        <f t="shared" si="4"/>
        <v>-31150.119999999995</v>
      </c>
    </row>
    <row r="55" spans="1:10" ht="15.75">
      <c r="A55" s="30"/>
      <c r="B55" s="302"/>
      <c r="C55" s="28">
        <f>SUM(C25:C54)</f>
        <v>-1611521</v>
      </c>
      <c r="D55" s="28">
        <f>SUM(D25:D54)</f>
        <v>1140374</v>
      </c>
      <c r="E55" s="28">
        <f>SUM(E25:E54)</f>
        <v>-471147</v>
      </c>
      <c r="F55" s="28">
        <f>SUM(F25:F54)</f>
        <v>420699.88</v>
      </c>
      <c r="G55" s="28">
        <f t="shared" ref="G55:H55" si="13">SUM(G25:G54)</f>
        <v>-50447.119999999995</v>
      </c>
      <c r="H55" s="28">
        <f t="shared" si="13"/>
        <v>0</v>
      </c>
      <c r="I55" s="28">
        <f>SUM(I25:I54)</f>
        <v>-50447.119999999995</v>
      </c>
    </row>
    <row r="56" spans="1:10" ht="6.75" customHeight="1">
      <c r="A56" s="30"/>
      <c r="B56" s="302"/>
      <c r="C56" s="317"/>
      <c r="D56" s="22"/>
      <c r="E56" s="29"/>
      <c r="F56" s="29"/>
      <c r="G56" s="29"/>
      <c r="H56" s="29"/>
      <c r="I56" s="22"/>
    </row>
    <row r="57" spans="1:10" hidden="1">
      <c r="A57" s="319" t="s">
        <v>125</v>
      </c>
      <c r="B57" s="300"/>
      <c r="C57" s="317"/>
      <c r="D57" s="22"/>
      <c r="E57" s="22"/>
      <c r="F57" s="22"/>
      <c r="G57" s="22"/>
      <c r="H57" s="22"/>
      <c r="I57" s="22"/>
    </row>
    <row r="58" spans="1:10" hidden="1">
      <c r="A58" s="320" t="s">
        <v>126</v>
      </c>
      <c r="B58" s="321">
        <v>25</v>
      </c>
      <c r="C58" s="318"/>
      <c r="D58" s="179"/>
      <c r="E58" s="180"/>
      <c r="F58" s="179">
        <v>0</v>
      </c>
      <c r="G58" s="318"/>
      <c r="H58" s="318"/>
      <c r="I58" s="19">
        <f>SUM(E58:F58)</f>
        <v>0</v>
      </c>
    </row>
    <row r="59" spans="1:10" hidden="1">
      <c r="A59" s="322" t="s">
        <v>95</v>
      </c>
      <c r="B59" s="321">
        <v>26</v>
      </c>
      <c r="C59" s="318"/>
      <c r="D59" s="179"/>
      <c r="E59" s="180"/>
      <c r="F59" s="179">
        <v>0</v>
      </c>
      <c r="G59" s="318"/>
      <c r="H59" s="318"/>
      <c r="I59" s="19">
        <f>SUM(E59:F59)</f>
        <v>0</v>
      </c>
    </row>
    <row r="60" spans="1:10" hidden="1">
      <c r="A60" s="320" t="s">
        <v>117</v>
      </c>
      <c r="B60" s="321"/>
      <c r="C60" s="318"/>
      <c r="D60" s="179"/>
      <c r="E60" s="179"/>
      <c r="F60" s="179"/>
      <c r="G60" s="179"/>
      <c r="H60" s="179"/>
      <c r="I60" s="22"/>
    </row>
    <row r="61" spans="1:10" hidden="1">
      <c r="A61" s="320" t="s">
        <v>118</v>
      </c>
      <c r="B61" s="321">
        <v>27</v>
      </c>
      <c r="C61" s="318"/>
      <c r="D61" s="179"/>
      <c r="E61" s="180"/>
      <c r="F61" s="179">
        <v>0</v>
      </c>
      <c r="G61" s="318"/>
      <c r="H61" s="318"/>
      <c r="I61" s="19">
        <f>SUM(E61:F61)</f>
        <v>0</v>
      </c>
    </row>
    <row r="62" spans="1:10" ht="15.75" hidden="1" customHeight="1">
      <c r="A62" s="320" t="s">
        <v>45</v>
      </c>
      <c r="B62" s="321">
        <v>28</v>
      </c>
      <c r="C62" s="318"/>
      <c r="D62" s="179"/>
      <c r="E62" s="180"/>
      <c r="F62" s="179"/>
      <c r="G62" s="318"/>
      <c r="H62" s="318"/>
      <c r="I62" s="19">
        <f>SUM(E62:F62)</f>
        <v>0</v>
      </c>
    </row>
    <row r="63" spans="1:10" hidden="1">
      <c r="A63" s="42"/>
      <c r="B63" s="300"/>
      <c r="C63" s="281">
        <f>SUM(C58:C62)</f>
        <v>0</v>
      </c>
      <c r="D63" s="42">
        <f>SUM(D58:D62)</f>
        <v>0</v>
      </c>
      <c r="E63" s="42">
        <f>SUM(E58:E62)</f>
        <v>0</v>
      </c>
      <c r="F63" s="42">
        <f>SUM(F58:F62)</f>
        <v>0</v>
      </c>
      <c r="G63" s="42">
        <f t="shared" ref="G63:H63" si="14">SUM(G58:G62)</f>
        <v>0</v>
      </c>
      <c r="H63" s="42">
        <f t="shared" si="14"/>
        <v>0</v>
      </c>
      <c r="I63" s="42">
        <f>SUM(I58:I62)</f>
        <v>0</v>
      </c>
    </row>
    <row r="64" spans="1:10" ht="6.75" hidden="1" customHeight="1">
      <c r="A64" s="39"/>
      <c r="B64" s="33"/>
      <c r="C64" s="317"/>
      <c r="D64" s="22"/>
      <c r="E64" s="22"/>
      <c r="F64" s="22"/>
      <c r="G64" s="22"/>
      <c r="H64" s="22"/>
      <c r="I64" s="22"/>
    </row>
    <row r="65" spans="1:9" ht="16.5" thickBot="1">
      <c r="A65" s="32" t="s">
        <v>5</v>
      </c>
      <c r="B65" s="384"/>
      <c r="C65" s="385">
        <f>C55+C63</f>
        <v>-1611521</v>
      </c>
      <c r="D65" s="32">
        <f>D55+D63</f>
        <v>1140374</v>
      </c>
      <c r="E65" s="32">
        <f>E55+E63</f>
        <v>-471147</v>
      </c>
      <c r="F65" s="32">
        <f>F55+F63</f>
        <v>420699.88</v>
      </c>
      <c r="G65" s="32">
        <f t="shared" ref="G65:I65" si="15">G55+G63</f>
        <v>-50447.119999999995</v>
      </c>
      <c r="H65" s="32">
        <f t="shared" si="15"/>
        <v>0</v>
      </c>
      <c r="I65" s="32">
        <f t="shared" si="15"/>
        <v>-50447.119999999995</v>
      </c>
    </row>
    <row r="66" spans="1:9" ht="15.75" thickTop="1"/>
    <row r="67" spans="1:9">
      <c r="A67" s="336" t="s">
        <v>434</v>
      </c>
    </row>
    <row r="68" spans="1:9">
      <c r="A68" s="275" t="s">
        <v>435</v>
      </c>
    </row>
    <row r="69" spans="1:9">
      <c r="A69" s="275" t="s">
        <v>437</v>
      </c>
      <c r="E69" s="273"/>
    </row>
    <row r="70" spans="1:9">
      <c r="A70" s="336" t="s">
        <v>449</v>
      </c>
      <c r="E70" s="273"/>
    </row>
    <row r="71" spans="1:9" ht="14.25" customHeight="1">
      <c r="A71" s="336" t="s">
        <v>448</v>
      </c>
      <c r="E71" s="273"/>
    </row>
    <row r="72" spans="1:9">
      <c r="A72" s="275" t="s">
        <v>495</v>
      </c>
      <c r="E72" s="273"/>
    </row>
    <row r="73" spans="1:9">
      <c r="A73" s="275" t="s">
        <v>436</v>
      </c>
      <c r="E73" s="273"/>
    </row>
    <row r="74" spans="1:9">
      <c r="A74" s="469">
        <f ca="1">NOW()</f>
        <v>40336.490004976855</v>
      </c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Footer>&amp;C&amp;"Arial,Bold"&amp;12&amp;A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opLeftCell="A10" zoomScale="90" zoomScaleNormal="90" workbookViewId="0">
      <selection activeCell="C38" sqref="C38"/>
    </sheetView>
  </sheetViews>
  <sheetFormatPr defaultRowHeight="15"/>
  <cols>
    <col min="1" max="1" width="6.140625" style="273" customWidth="1"/>
    <col min="2" max="2" width="26.28515625" style="273" hidden="1" customWidth="1"/>
    <col min="3" max="3" width="106.7109375" customWidth="1"/>
    <col min="4" max="4" width="9.140625" style="278"/>
  </cols>
  <sheetData>
    <row r="1" spans="1:14" s="2" customFormat="1" ht="30" customHeight="1">
      <c r="A1" s="6"/>
      <c r="B1" s="272"/>
      <c r="C1" s="3" t="s">
        <v>122</v>
      </c>
      <c r="M1" s="3"/>
    </row>
    <row r="2" spans="1:14" s="2" customFormat="1" ht="30" customHeight="1">
      <c r="A2" s="294" t="s">
        <v>3</v>
      </c>
      <c r="B2" s="295" t="s">
        <v>446</v>
      </c>
      <c r="C2" s="294" t="s">
        <v>460</v>
      </c>
      <c r="D2" s="2" t="s">
        <v>433</v>
      </c>
      <c r="M2" s="3"/>
    </row>
    <row r="3" spans="1:14" s="2" customFormat="1" ht="8.25" customHeight="1">
      <c r="A3" s="406"/>
      <c r="B3" s="407"/>
      <c r="C3" s="406"/>
      <c r="M3" s="3"/>
    </row>
    <row r="4" spans="1:14" s="2" customFormat="1">
      <c r="A4" s="362" t="s">
        <v>403</v>
      </c>
      <c r="B4" s="22" t="s">
        <v>65</v>
      </c>
      <c r="C4" s="22" t="s">
        <v>454</v>
      </c>
      <c r="D4" s="2" t="s">
        <v>382</v>
      </c>
    </row>
    <row r="5" spans="1:14" s="2" customFormat="1">
      <c r="A5" s="34"/>
      <c r="B5" s="317"/>
      <c r="C5" s="22" t="s">
        <v>455</v>
      </c>
    </row>
    <row r="6" spans="1:14" s="2" customFormat="1">
      <c r="A6" s="362" t="s">
        <v>404</v>
      </c>
      <c r="B6" s="22" t="s">
        <v>59</v>
      </c>
      <c r="C6" s="22" t="s">
        <v>390</v>
      </c>
      <c r="D6" s="2" t="s">
        <v>379</v>
      </c>
    </row>
    <row r="7" spans="1:14" s="2" customFormat="1">
      <c r="A7" s="362" t="s">
        <v>405</v>
      </c>
      <c r="B7" s="22" t="s">
        <v>384</v>
      </c>
      <c r="C7" s="22" t="s">
        <v>456</v>
      </c>
      <c r="D7" s="2" t="s">
        <v>379</v>
      </c>
    </row>
    <row r="8" spans="1:14" s="2" customFormat="1">
      <c r="A8" s="362" t="s">
        <v>406</v>
      </c>
      <c r="B8" s="22" t="s">
        <v>386</v>
      </c>
      <c r="C8" s="22" t="s">
        <v>457</v>
      </c>
      <c r="D8" s="2" t="s">
        <v>379</v>
      </c>
    </row>
    <row r="9" spans="1:14" s="2" customFormat="1">
      <c r="A9" s="362" t="s">
        <v>407</v>
      </c>
      <c r="B9" s="22" t="s">
        <v>272</v>
      </c>
      <c r="C9" s="22" t="s">
        <v>391</v>
      </c>
      <c r="D9" s="2" t="s">
        <v>379</v>
      </c>
    </row>
    <row r="10" spans="1:14" s="2" customFormat="1">
      <c r="A10" s="290" t="s">
        <v>408</v>
      </c>
      <c r="B10" s="22" t="s">
        <v>444</v>
      </c>
      <c r="C10" s="366" t="s">
        <v>392</v>
      </c>
      <c r="D10" s="267" t="s">
        <v>379</v>
      </c>
      <c r="E10" s="265"/>
      <c r="F10" s="265"/>
      <c r="G10" s="265"/>
      <c r="H10" s="267"/>
      <c r="I10" s="267"/>
    </row>
    <row r="11" spans="1:14" s="2" customFormat="1">
      <c r="A11" s="290" t="s">
        <v>409</v>
      </c>
      <c r="B11" s="288" t="s">
        <v>93</v>
      </c>
      <c r="C11" s="366" t="s">
        <v>533</v>
      </c>
      <c r="D11" s="267" t="s">
        <v>381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</row>
    <row r="12" spans="1:14" s="2" customFormat="1">
      <c r="A12" s="363"/>
      <c r="B12" s="22"/>
      <c r="C12" s="366" t="s">
        <v>534</v>
      </c>
      <c r="D12" s="276"/>
      <c r="E12" s="265"/>
      <c r="F12" s="265"/>
      <c r="G12" s="265"/>
      <c r="H12" s="265"/>
      <c r="I12" s="265"/>
      <c r="J12" s="265"/>
      <c r="K12" s="265"/>
      <c r="L12" s="265"/>
      <c r="M12" s="265"/>
      <c r="N12" s="265"/>
    </row>
    <row r="13" spans="1:14" s="2" customFormat="1">
      <c r="A13" s="290" t="s">
        <v>410</v>
      </c>
      <c r="B13" s="288" t="s">
        <v>42</v>
      </c>
      <c r="C13" s="367" t="s">
        <v>393</v>
      </c>
      <c r="D13" s="271" t="s">
        <v>381</v>
      </c>
      <c r="E13" s="270"/>
      <c r="F13" s="270"/>
      <c r="G13" s="270"/>
      <c r="H13" s="270"/>
      <c r="I13" s="270"/>
      <c r="J13" s="270"/>
      <c r="K13" s="270"/>
      <c r="L13" s="270"/>
      <c r="M13" s="270"/>
      <c r="N13" s="265"/>
    </row>
    <row r="14" spans="1:14" s="2" customFormat="1">
      <c r="A14" s="363"/>
      <c r="B14" s="22"/>
      <c r="C14" s="366" t="s">
        <v>453</v>
      </c>
      <c r="D14" s="276"/>
      <c r="E14" s="265"/>
      <c r="F14" s="265"/>
      <c r="G14" s="265"/>
      <c r="H14" s="265"/>
      <c r="I14" s="265"/>
      <c r="J14" s="265"/>
      <c r="K14" s="265"/>
      <c r="L14" s="265"/>
      <c r="M14" s="265"/>
      <c r="N14" s="265"/>
    </row>
    <row r="15" spans="1:14" s="2" customFormat="1">
      <c r="A15" s="290" t="s">
        <v>411</v>
      </c>
      <c r="B15" s="288" t="s">
        <v>60</v>
      </c>
      <c r="C15" s="366" t="s">
        <v>535</v>
      </c>
      <c r="D15" s="276" t="s">
        <v>381</v>
      </c>
      <c r="E15" s="265"/>
      <c r="F15" s="265"/>
      <c r="G15" s="265"/>
      <c r="H15" s="268"/>
      <c r="I15" s="268"/>
    </row>
    <row r="16" spans="1:14" s="2" customFormat="1">
      <c r="A16" s="290" t="s">
        <v>412</v>
      </c>
      <c r="B16" s="288" t="s">
        <v>270</v>
      </c>
      <c r="C16" s="366" t="s">
        <v>527</v>
      </c>
      <c r="D16" s="276" t="s">
        <v>381</v>
      </c>
      <c r="E16" s="265"/>
      <c r="F16" s="265"/>
      <c r="G16" s="265"/>
      <c r="H16" s="268"/>
      <c r="I16" s="268"/>
    </row>
    <row r="17" spans="1:14" s="2" customFormat="1">
      <c r="A17" s="363"/>
      <c r="B17" s="22"/>
      <c r="C17" s="366" t="s">
        <v>526</v>
      </c>
      <c r="D17" s="276"/>
      <c r="E17" s="265"/>
      <c r="F17" s="265"/>
      <c r="G17" s="265"/>
      <c r="H17" s="268"/>
      <c r="I17" s="268"/>
    </row>
    <row r="18" spans="1:14" s="2" customFormat="1">
      <c r="A18" s="290" t="s">
        <v>413</v>
      </c>
      <c r="B18" s="288" t="s">
        <v>385</v>
      </c>
      <c r="C18" s="366" t="s">
        <v>538</v>
      </c>
      <c r="D18" s="276" t="s">
        <v>381</v>
      </c>
      <c r="E18" s="265"/>
      <c r="F18" s="265"/>
      <c r="G18" s="265"/>
      <c r="H18" s="268"/>
      <c r="I18" s="268"/>
    </row>
    <row r="19" spans="1:14" s="2" customFormat="1">
      <c r="A19" s="290"/>
      <c r="B19" s="288"/>
      <c r="C19" s="366" t="s">
        <v>539</v>
      </c>
      <c r="D19" s="276"/>
      <c r="E19" s="265"/>
      <c r="F19" s="265"/>
      <c r="G19" s="265"/>
      <c r="H19" s="268"/>
      <c r="I19" s="268"/>
    </row>
    <row r="20" spans="1:14" s="2" customFormat="1">
      <c r="A20" s="290" t="s">
        <v>414</v>
      </c>
      <c r="B20" s="288" t="s">
        <v>439</v>
      </c>
      <c r="C20" s="366" t="s">
        <v>452</v>
      </c>
      <c r="D20" s="266" t="s">
        <v>381</v>
      </c>
      <c r="E20" s="266"/>
      <c r="F20" s="266"/>
      <c r="G20" s="266"/>
      <c r="H20" s="266"/>
      <c r="I20" s="266"/>
      <c r="J20" s="266"/>
      <c r="K20" s="266"/>
      <c r="L20" s="266"/>
      <c r="M20" s="266"/>
    </row>
    <row r="21" spans="1:14" s="2" customFormat="1" ht="15" customHeight="1">
      <c r="A21" s="291" t="s">
        <v>415</v>
      </c>
      <c r="B21" s="288" t="s">
        <v>274</v>
      </c>
      <c r="C21" s="494" t="s">
        <v>540</v>
      </c>
      <c r="D21" s="268" t="s">
        <v>381</v>
      </c>
      <c r="E21" s="268"/>
      <c r="F21" s="268"/>
      <c r="G21" s="268"/>
      <c r="H21" s="268"/>
      <c r="I21" s="268"/>
      <c r="J21" s="268"/>
      <c r="K21" s="268"/>
      <c r="L21" s="268"/>
      <c r="M21" s="268"/>
      <c r="N21" s="265"/>
    </row>
    <row r="22" spans="1:14" s="2" customFormat="1" ht="14.25" customHeight="1">
      <c r="A22" s="362" t="s">
        <v>416</v>
      </c>
      <c r="B22" s="288" t="s">
        <v>438</v>
      </c>
      <c r="C22" s="495" t="s">
        <v>544</v>
      </c>
      <c r="D22" s="277" t="s">
        <v>381</v>
      </c>
      <c r="E22" s="269"/>
      <c r="F22" s="269"/>
      <c r="G22" s="269"/>
    </row>
    <row r="23" spans="1:14" s="2" customFormat="1" ht="15" customHeight="1">
      <c r="A23" s="362" t="s">
        <v>417</v>
      </c>
      <c r="B23" s="288" t="s">
        <v>61</v>
      </c>
      <c r="C23" s="494" t="s">
        <v>542</v>
      </c>
      <c r="D23" s="277" t="s">
        <v>381</v>
      </c>
      <c r="E23" s="269"/>
      <c r="F23" s="269"/>
      <c r="G23" s="269"/>
    </row>
    <row r="24" spans="1:14" s="2" customFormat="1" ht="15" customHeight="1">
      <c r="A24" s="362"/>
      <c r="B24" s="288"/>
      <c r="C24" s="494" t="s">
        <v>541</v>
      </c>
      <c r="D24" s="277"/>
      <c r="E24" s="269"/>
      <c r="F24" s="269"/>
      <c r="G24" s="269"/>
    </row>
    <row r="25" spans="1:14" s="2" customFormat="1" ht="15" customHeight="1">
      <c r="A25" s="362" t="s">
        <v>418</v>
      </c>
      <c r="B25" s="288" t="s">
        <v>62</v>
      </c>
      <c r="C25" s="369" t="s">
        <v>394</v>
      </c>
      <c r="D25" s="277" t="s">
        <v>381</v>
      </c>
      <c r="E25" s="269"/>
      <c r="F25" s="269"/>
      <c r="G25" s="269"/>
    </row>
    <row r="26" spans="1:14" s="2" customFormat="1" ht="15" customHeight="1">
      <c r="A26" s="362" t="s">
        <v>419</v>
      </c>
      <c r="B26" s="288" t="s">
        <v>440</v>
      </c>
      <c r="C26" s="369" t="s">
        <v>536</v>
      </c>
      <c r="D26" s="277" t="s">
        <v>381</v>
      </c>
      <c r="E26" s="269"/>
      <c r="F26" s="269"/>
      <c r="G26" s="269"/>
    </row>
    <row r="27" spans="1:14" s="2" customFormat="1" ht="14.25" customHeight="1">
      <c r="A27" s="362" t="s">
        <v>420</v>
      </c>
      <c r="B27" s="288" t="s">
        <v>40</v>
      </c>
      <c r="C27" s="369" t="s">
        <v>537</v>
      </c>
      <c r="D27" s="277" t="s">
        <v>381</v>
      </c>
      <c r="E27" s="269"/>
      <c r="F27" s="269"/>
      <c r="G27" s="269"/>
    </row>
    <row r="28" spans="1:14" s="2" customFormat="1" ht="15" customHeight="1">
      <c r="A28" s="362" t="s">
        <v>421</v>
      </c>
      <c r="B28" s="288" t="s">
        <v>441</v>
      </c>
      <c r="C28" s="369" t="s">
        <v>450</v>
      </c>
      <c r="D28" s="277" t="s">
        <v>381</v>
      </c>
      <c r="E28" s="269"/>
      <c r="F28" s="269"/>
      <c r="G28" s="269"/>
    </row>
    <row r="29" spans="1:14" s="2" customFormat="1">
      <c r="A29" s="362" t="s">
        <v>422</v>
      </c>
      <c r="B29" s="288" t="s">
        <v>45</v>
      </c>
      <c r="C29" s="369" t="s">
        <v>525</v>
      </c>
      <c r="D29" s="2" t="s">
        <v>381</v>
      </c>
    </row>
    <row r="30" spans="1:14" s="2" customFormat="1">
      <c r="A30" s="362"/>
      <c r="B30" s="288"/>
      <c r="C30" s="369" t="s">
        <v>529</v>
      </c>
    </row>
    <row r="31" spans="1:14" s="2" customFormat="1">
      <c r="A31" s="362"/>
      <c r="B31" s="288"/>
      <c r="C31" s="369" t="s">
        <v>530</v>
      </c>
    </row>
    <row r="32" spans="1:14" s="2" customFormat="1" ht="15" customHeight="1">
      <c r="A32" s="291" t="s">
        <v>423</v>
      </c>
      <c r="B32" s="288" t="s">
        <v>443</v>
      </c>
      <c r="C32" s="368" t="s">
        <v>395</v>
      </c>
      <c r="D32" s="268" t="s">
        <v>381</v>
      </c>
      <c r="E32" s="268"/>
      <c r="F32" s="268"/>
      <c r="G32" s="268"/>
      <c r="H32" s="268"/>
      <c r="I32" s="268"/>
      <c r="J32" s="268"/>
      <c r="K32" s="268"/>
      <c r="L32" s="268"/>
      <c r="M32" s="268"/>
      <c r="N32" s="265"/>
    </row>
    <row r="33" spans="1:15" s="2" customFormat="1" ht="15" customHeight="1">
      <c r="A33" s="292"/>
      <c r="B33" s="22" t="s">
        <v>65</v>
      </c>
      <c r="C33" s="368" t="s">
        <v>396</v>
      </c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5"/>
    </row>
    <row r="34" spans="1:15" s="2" customFormat="1" ht="15" customHeight="1">
      <c r="A34" s="291" t="s">
        <v>424</v>
      </c>
      <c r="B34" s="288" t="s">
        <v>442</v>
      </c>
      <c r="C34" s="368" t="s">
        <v>397</v>
      </c>
      <c r="D34" s="268" t="s">
        <v>377</v>
      </c>
      <c r="E34" s="268"/>
      <c r="F34" s="268"/>
      <c r="G34" s="268"/>
      <c r="H34" s="268"/>
      <c r="I34" s="268"/>
      <c r="J34" s="268"/>
      <c r="K34" s="268"/>
      <c r="L34" s="268"/>
      <c r="M34" s="268"/>
      <c r="N34" s="265"/>
    </row>
    <row r="35" spans="1:15" s="2" customFormat="1" ht="15" customHeight="1">
      <c r="A35" s="292"/>
      <c r="B35" s="22" t="s">
        <v>65</v>
      </c>
      <c r="C35" s="368" t="s">
        <v>398</v>
      </c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5"/>
    </row>
    <row r="36" spans="1:15" s="2" customFormat="1" ht="15" customHeight="1">
      <c r="A36" s="291" t="s">
        <v>425</v>
      </c>
      <c r="B36" s="288" t="s">
        <v>273</v>
      </c>
      <c r="C36" s="368" t="s">
        <v>399</v>
      </c>
      <c r="D36" s="268" t="s">
        <v>377</v>
      </c>
      <c r="E36" s="268"/>
      <c r="F36" s="268"/>
      <c r="G36" s="268"/>
      <c r="H36" s="268"/>
      <c r="I36" s="268"/>
      <c r="J36" s="268"/>
      <c r="K36" s="268"/>
      <c r="L36" s="268"/>
      <c r="M36" s="268"/>
      <c r="N36" s="265"/>
    </row>
    <row r="37" spans="1:15" s="9" customFormat="1" ht="15" customHeight="1">
      <c r="A37" s="291" t="s">
        <v>426</v>
      </c>
      <c r="B37" s="288" t="s">
        <v>94</v>
      </c>
      <c r="C37" s="368" t="s">
        <v>548</v>
      </c>
      <c r="D37" s="282" t="s">
        <v>377</v>
      </c>
      <c r="E37" s="282"/>
      <c r="F37" s="282"/>
      <c r="G37" s="282"/>
      <c r="H37" s="282"/>
      <c r="I37" s="282"/>
      <c r="J37" s="282"/>
      <c r="K37" s="282"/>
      <c r="L37" s="282"/>
      <c r="M37" s="282"/>
      <c r="N37" s="283"/>
    </row>
    <row r="38" spans="1:15" s="9" customFormat="1" ht="15" customHeight="1">
      <c r="A38" s="291" t="s">
        <v>427</v>
      </c>
      <c r="B38" s="288" t="s">
        <v>383</v>
      </c>
      <c r="C38" s="368" t="s">
        <v>400</v>
      </c>
      <c r="D38" s="282" t="s">
        <v>377</v>
      </c>
      <c r="E38" s="282"/>
      <c r="F38" s="282"/>
      <c r="G38" s="282"/>
      <c r="H38" s="282"/>
      <c r="I38" s="282"/>
      <c r="J38" s="282"/>
      <c r="K38" s="282"/>
      <c r="L38" s="282"/>
      <c r="M38" s="282"/>
      <c r="N38" s="283"/>
      <c r="O38" s="283"/>
    </row>
    <row r="39" spans="1:15" s="9" customFormat="1">
      <c r="A39" s="362" t="s">
        <v>428</v>
      </c>
      <c r="B39" s="288" t="s">
        <v>27</v>
      </c>
      <c r="C39" s="22" t="s">
        <v>401</v>
      </c>
      <c r="D39" s="9" t="s">
        <v>377</v>
      </c>
    </row>
    <row r="40" spans="1:15" s="9" customFormat="1">
      <c r="A40" s="34"/>
      <c r="B40" s="22"/>
      <c r="C40" s="22" t="s">
        <v>402</v>
      </c>
    </row>
    <row r="41" spans="1:15" s="9" customFormat="1">
      <c r="A41" s="362" t="s">
        <v>429</v>
      </c>
      <c r="B41" s="288" t="s">
        <v>64</v>
      </c>
      <c r="C41" s="22" t="s">
        <v>445</v>
      </c>
      <c r="D41" s="9" t="s">
        <v>377</v>
      </c>
    </row>
    <row r="42" spans="1:15" s="9" customFormat="1">
      <c r="A42" s="362" t="s">
        <v>430</v>
      </c>
      <c r="B42" s="288" t="s">
        <v>269</v>
      </c>
      <c r="C42" s="22" t="s">
        <v>523</v>
      </c>
      <c r="D42" s="9" t="s">
        <v>377</v>
      </c>
    </row>
    <row r="43" spans="1:15" s="9" customFormat="1">
      <c r="A43" s="362" t="s">
        <v>431</v>
      </c>
      <c r="B43" s="22" t="s">
        <v>50</v>
      </c>
      <c r="C43" s="22" t="s">
        <v>451</v>
      </c>
      <c r="D43" s="9" t="s">
        <v>377</v>
      </c>
    </row>
    <row r="44" spans="1:15" s="9" customFormat="1">
      <c r="A44" s="289"/>
      <c r="B44" s="289"/>
      <c r="C44" s="28" t="s">
        <v>432</v>
      </c>
    </row>
    <row r="45" spans="1:15" s="285" customFormat="1">
      <c r="A45" s="284"/>
      <c r="B45" s="284"/>
      <c r="D45" s="286"/>
    </row>
    <row r="46" spans="1:15">
      <c r="A46" s="274" t="s">
        <v>434</v>
      </c>
      <c r="C46" s="275" t="s">
        <v>435</v>
      </c>
    </row>
    <row r="47" spans="1:15">
      <c r="C47" s="275" t="s">
        <v>437</v>
      </c>
    </row>
    <row r="48" spans="1:15">
      <c r="C48" s="336" t="s">
        <v>449</v>
      </c>
    </row>
    <row r="49" spans="3:3">
      <c r="C49" s="336" t="s">
        <v>448</v>
      </c>
    </row>
    <row r="50" spans="3:3">
      <c r="C50" s="275" t="s">
        <v>495</v>
      </c>
    </row>
    <row r="51" spans="3:3">
      <c r="C51" s="275" t="s">
        <v>436</v>
      </c>
    </row>
    <row r="52" spans="3:3">
      <c r="C52" s="469">
        <f ca="1">NOW()</f>
        <v>40336.490005092593</v>
      </c>
    </row>
  </sheetData>
  <pageMargins left="0.74803149606299213" right="0.74803149606299213" top="0.98425196850393704" bottom="0.98425196850393704" header="0.51181102362204722" footer="0.51181102362204722"/>
  <pageSetup paperSize="9" scale="78" fitToHeight="2" orientation="portrait" r:id="rId1"/>
  <headerFooter alignWithMargins="0">
    <oddFooter>&amp;C&amp;"Arial,Bold"&amp;12&amp;A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83"/>
  <sheetViews>
    <sheetView topLeftCell="A42" zoomScaleNormal="100" zoomScaleSheetLayoutView="85" workbookViewId="0">
      <selection activeCell="D75" sqref="D75"/>
    </sheetView>
  </sheetViews>
  <sheetFormatPr defaultColWidth="9.140625" defaultRowHeight="15"/>
  <cols>
    <col min="1" max="1" width="6" style="2" customWidth="1"/>
    <col min="2" max="2" width="38" style="2" customWidth="1"/>
    <col min="3" max="3" width="6" style="8" customWidth="1"/>
    <col min="4" max="4" width="14.7109375" style="2" customWidth="1"/>
    <col min="5" max="5" width="14.28515625" style="2" bestFit="1" customWidth="1"/>
    <col min="6" max="6" width="13.140625" style="2" bestFit="1" customWidth="1"/>
    <col min="7" max="7" width="14.7109375" style="2" bestFit="1" customWidth="1"/>
    <col min="8" max="8" width="11.42578125" style="2" bestFit="1" customWidth="1"/>
    <col min="9" max="9" width="14.140625" style="2" bestFit="1" customWidth="1"/>
    <col min="10" max="10" width="12.5703125" style="2" customWidth="1"/>
    <col min="11" max="11" width="9.7109375" style="2" bestFit="1" customWidth="1"/>
    <col min="12" max="12" width="11" style="2" bestFit="1" customWidth="1"/>
    <col min="13" max="13" width="10.28515625" style="2" customWidth="1"/>
    <col min="14" max="16384" width="9.140625" style="2"/>
  </cols>
  <sheetData>
    <row r="1" spans="1:10" ht="15.75">
      <c r="A1" s="6" t="s">
        <v>263</v>
      </c>
      <c r="B1" s="6"/>
      <c r="J1" s="3" t="s">
        <v>16</v>
      </c>
    </row>
    <row r="2" spans="1:10">
      <c r="G2" s="2" t="s">
        <v>6</v>
      </c>
      <c r="H2" s="2" t="s">
        <v>6</v>
      </c>
      <c r="I2" s="2" t="s">
        <v>6</v>
      </c>
    </row>
    <row r="3" spans="1:10" ht="15.75">
      <c r="A3" s="1"/>
      <c r="B3" s="1"/>
    </row>
    <row r="4" spans="1:10" ht="15.75">
      <c r="A4" s="303" t="s">
        <v>11</v>
      </c>
      <c r="B4" s="390"/>
      <c r="C4" s="306"/>
      <c r="D4" s="328" t="s">
        <v>22</v>
      </c>
      <c r="E4" s="305" t="s">
        <v>22</v>
      </c>
      <c r="F4" s="306" t="s">
        <v>24</v>
      </c>
      <c r="G4" s="305" t="s">
        <v>34</v>
      </c>
      <c r="H4" s="305" t="s">
        <v>0</v>
      </c>
      <c r="I4" s="305" t="s">
        <v>34</v>
      </c>
      <c r="J4" s="307" t="s">
        <v>0</v>
      </c>
    </row>
    <row r="5" spans="1:10" ht="15.75">
      <c r="A5" s="329"/>
      <c r="B5" s="389"/>
      <c r="C5" s="309"/>
      <c r="D5" s="331" t="s">
        <v>8</v>
      </c>
      <c r="E5" s="310" t="s">
        <v>23</v>
      </c>
      <c r="F5" s="311"/>
      <c r="G5" s="310" t="s">
        <v>33</v>
      </c>
      <c r="H5" s="310"/>
      <c r="I5" s="310" t="s">
        <v>33</v>
      </c>
      <c r="J5" s="312"/>
    </row>
    <row r="6" spans="1:10" ht="15.75">
      <c r="A6" s="329"/>
      <c r="B6" s="389"/>
      <c r="C6" s="309"/>
      <c r="D6" s="331"/>
      <c r="E6" s="310"/>
      <c r="F6" s="311"/>
      <c r="G6" s="310" t="s">
        <v>507</v>
      </c>
      <c r="H6" s="310"/>
      <c r="I6" s="310" t="s">
        <v>508</v>
      </c>
      <c r="J6" s="312"/>
    </row>
    <row r="7" spans="1:10" ht="15.75">
      <c r="A7" s="332" t="s">
        <v>264</v>
      </c>
      <c r="B7" s="391"/>
      <c r="C7" s="372"/>
      <c r="D7" s="334" t="s">
        <v>7</v>
      </c>
      <c r="E7" s="314" t="s">
        <v>7</v>
      </c>
      <c r="F7" s="315" t="s">
        <v>7</v>
      </c>
      <c r="G7" s="314" t="s">
        <v>7</v>
      </c>
      <c r="H7" s="314" t="s">
        <v>7</v>
      </c>
      <c r="I7" s="314" t="s">
        <v>7</v>
      </c>
      <c r="J7" s="316" t="s">
        <v>7</v>
      </c>
    </row>
    <row r="8" spans="1:10" ht="15.75">
      <c r="A8" s="324"/>
      <c r="B8" s="364"/>
      <c r="C8" s="37"/>
      <c r="D8" s="370"/>
      <c r="E8" s="23"/>
      <c r="F8" s="14"/>
      <c r="G8" s="39"/>
      <c r="H8" s="39"/>
      <c r="I8" s="39"/>
      <c r="J8" s="23"/>
    </row>
    <row r="9" spans="1:10" ht="15.75">
      <c r="A9" s="18" t="s">
        <v>4</v>
      </c>
      <c r="B9" s="9"/>
      <c r="C9" s="17"/>
      <c r="D9" s="18">
        <v>45783500</v>
      </c>
      <c r="E9" s="22">
        <v>-34649400</v>
      </c>
      <c r="F9" s="9">
        <v>-4196800</v>
      </c>
      <c r="G9" s="22"/>
      <c r="H9" s="29">
        <f>SUM(D9:G9)</f>
        <v>6937300</v>
      </c>
      <c r="I9" s="22"/>
      <c r="J9" s="29">
        <f>SUM(H9:I9)</f>
        <v>6937300</v>
      </c>
    </row>
    <row r="10" spans="1:10" ht="15.75">
      <c r="A10" s="26" t="s">
        <v>52</v>
      </c>
      <c r="B10" s="7"/>
      <c r="C10" s="298"/>
      <c r="D10" s="26">
        <v>45676061</v>
      </c>
      <c r="E10" s="28">
        <f>-35272078+5656</f>
        <v>-35266422</v>
      </c>
      <c r="F10" s="7">
        <v>-4183086</v>
      </c>
      <c r="G10" s="28"/>
      <c r="H10" s="29">
        <f>SUM(D10:G10)</f>
        <v>6226553</v>
      </c>
      <c r="I10" s="28"/>
      <c r="J10" s="30">
        <f>SUM(H10:I10)</f>
        <v>6226553</v>
      </c>
    </row>
    <row r="11" spans="1:10" ht="6" customHeight="1">
      <c r="A11" s="18"/>
      <c r="B11" s="9"/>
      <c r="C11" s="17"/>
      <c r="D11" s="18"/>
      <c r="E11" s="22"/>
      <c r="F11" s="9"/>
      <c r="G11" s="39"/>
      <c r="H11" s="39"/>
      <c r="I11" s="39"/>
      <c r="J11" s="44"/>
    </row>
    <row r="12" spans="1:10" ht="15.75">
      <c r="A12" s="371" t="s">
        <v>9</v>
      </c>
      <c r="B12" s="373"/>
      <c r="C12" s="37"/>
      <c r="D12" s="371">
        <f>+D10-D9</f>
        <v>-107439</v>
      </c>
      <c r="E12" s="44">
        <f>+E10-E9</f>
        <v>-617022</v>
      </c>
      <c r="F12" s="373">
        <f>+F10-F9</f>
        <v>13714</v>
      </c>
      <c r="G12" s="39">
        <f t="shared" ref="G12:J12" si="0">+G10-G9</f>
        <v>0</v>
      </c>
      <c r="H12" s="44">
        <f t="shared" si="0"/>
        <v>-710747</v>
      </c>
      <c r="I12" s="39">
        <f t="shared" si="0"/>
        <v>0</v>
      </c>
      <c r="J12" s="44">
        <f t="shared" si="0"/>
        <v>-710747</v>
      </c>
    </row>
    <row r="13" spans="1:10" ht="3.75" customHeight="1">
      <c r="A13" s="325"/>
      <c r="B13" s="287"/>
      <c r="C13" s="326"/>
      <c r="D13" s="297"/>
      <c r="E13" s="293"/>
      <c r="F13" s="374"/>
      <c r="G13" s="42"/>
      <c r="H13" s="293"/>
      <c r="I13" s="42"/>
      <c r="J13" s="293"/>
    </row>
    <row r="14" spans="1:10" ht="15.75">
      <c r="A14" s="26" t="s">
        <v>30</v>
      </c>
      <c r="B14" s="7"/>
      <c r="C14" s="298"/>
      <c r="D14" s="26"/>
      <c r="E14" s="28"/>
      <c r="F14" s="7"/>
      <c r="G14" s="28">
        <f>'Appendix B'!H38-'Appendix B'!H34</f>
        <v>118000</v>
      </c>
      <c r="H14" s="30">
        <f>SUM(D14:G14)</f>
        <v>118000</v>
      </c>
      <c r="I14" s="28">
        <f>'Appendix B'!H34</f>
        <v>31000</v>
      </c>
      <c r="J14" s="30">
        <f>SUM(H14:I14)</f>
        <v>149000</v>
      </c>
    </row>
    <row r="15" spans="1:10" ht="5.25" customHeight="1">
      <c r="A15" s="18"/>
      <c r="B15" s="9"/>
      <c r="C15" s="17"/>
      <c r="D15" s="18"/>
      <c r="E15" s="22"/>
      <c r="F15" s="9"/>
      <c r="G15" s="30"/>
      <c r="H15" s="30"/>
      <c r="I15" s="30"/>
      <c r="J15" s="28"/>
    </row>
    <row r="16" spans="1:10" ht="16.5" thickBot="1">
      <c r="A16" s="31" t="s">
        <v>31</v>
      </c>
      <c r="B16" s="10"/>
      <c r="C16" s="327"/>
      <c r="D16" s="31">
        <f>+D12+D14</f>
        <v>-107439</v>
      </c>
      <c r="E16" s="32">
        <f>+E12+E14</f>
        <v>-617022</v>
      </c>
      <c r="F16" s="32">
        <f>+F12+F14</f>
        <v>13714</v>
      </c>
      <c r="G16" s="10">
        <f>+G12+G14</f>
        <v>118000</v>
      </c>
      <c r="H16" s="10">
        <f t="shared" ref="H16:I16" si="1">+H12+H14</f>
        <v>-592747</v>
      </c>
      <c r="I16" s="10">
        <f t="shared" si="1"/>
        <v>31000</v>
      </c>
      <c r="J16" s="32">
        <f>+J12+J14</f>
        <v>-561747</v>
      </c>
    </row>
    <row r="17" spans="1:11" ht="16.5" thickTop="1">
      <c r="A17" s="6"/>
      <c r="B17" s="6"/>
      <c r="C17" s="4"/>
      <c r="D17" s="6"/>
      <c r="E17" s="6"/>
      <c r="F17" s="6"/>
      <c r="G17" s="6"/>
      <c r="H17" s="6"/>
      <c r="I17" s="6"/>
    </row>
    <row r="18" spans="1:11" ht="15.75">
      <c r="A18" s="6"/>
      <c r="B18" s="6"/>
      <c r="C18" s="4"/>
      <c r="D18" s="6"/>
      <c r="E18" s="6"/>
      <c r="F18" s="6"/>
      <c r="G18" s="6"/>
      <c r="H18" s="6"/>
      <c r="I18" s="6"/>
    </row>
    <row r="19" spans="1:11" ht="15.75">
      <c r="D19" s="4"/>
      <c r="E19" s="4"/>
      <c r="F19" s="4"/>
      <c r="G19" s="4"/>
      <c r="H19" s="4"/>
      <c r="I19" s="4"/>
    </row>
    <row r="20" spans="1:11" ht="15.75">
      <c r="A20" s="303" t="s">
        <v>35</v>
      </c>
      <c r="B20" s="390"/>
      <c r="C20" s="304"/>
      <c r="D20" s="305" t="s">
        <v>8</v>
      </c>
      <c r="E20" s="306" t="s">
        <v>23</v>
      </c>
      <c r="F20" s="305" t="s">
        <v>47</v>
      </c>
      <c r="G20" s="305" t="s">
        <v>34</v>
      </c>
      <c r="H20" s="305" t="s">
        <v>32</v>
      </c>
      <c r="I20" s="305" t="s">
        <v>34</v>
      </c>
      <c r="J20" s="305" t="s">
        <v>32</v>
      </c>
    </row>
    <row r="21" spans="1:11" ht="15.75">
      <c r="A21" s="308"/>
      <c r="B21" s="392"/>
      <c r="C21" s="309"/>
      <c r="D21" s="310" t="s">
        <v>9</v>
      </c>
      <c r="E21" s="311" t="s">
        <v>9</v>
      </c>
      <c r="F21" s="310" t="s">
        <v>9</v>
      </c>
      <c r="G21" s="310" t="s">
        <v>33</v>
      </c>
      <c r="H21" s="310" t="s">
        <v>9</v>
      </c>
      <c r="I21" s="310" t="s">
        <v>33</v>
      </c>
      <c r="J21" s="310" t="s">
        <v>9</v>
      </c>
    </row>
    <row r="22" spans="1:11" ht="15.75">
      <c r="A22" s="308"/>
      <c r="B22" s="392"/>
      <c r="C22" s="309"/>
      <c r="D22" s="310"/>
      <c r="E22" s="311"/>
      <c r="F22" s="310"/>
      <c r="G22" s="310" t="s">
        <v>507</v>
      </c>
      <c r="H22" s="310"/>
      <c r="I22" s="310" t="s">
        <v>508</v>
      </c>
      <c r="J22" s="310"/>
    </row>
    <row r="23" spans="1:11" ht="15" customHeight="1">
      <c r="A23" s="513" t="s">
        <v>12</v>
      </c>
      <c r="B23" s="514"/>
      <c r="C23" s="313" t="s">
        <v>3</v>
      </c>
      <c r="D23" s="314" t="s">
        <v>7</v>
      </c>
      <c r="E23" s="315" t="s">
        <v>7</v>
      </c>
      <c r="F23" s="314" t="s">
        <v>7</v>
      </c>
      <c r="G23" s="314" t="s">
        <v>7</v>
      </c>
      <c r="H23" s="314" t="s">
        <v>7</v>
      </c>
      <c r="I23" s="314" t="s">
        <v>7</v>
      </c>
      <c r="J23" s="314" t="s">
        <v>7</v>
      </c>
    </row>
    <row r="24" spans="1:11" ht="15" customHeight="1">
      <c r="A24" s="422"/>
      <c r="B24" s="423"/>
      <c r="C24" s="378"/>
      <c r="D24" s="17"/>
      <c r="F24" s="21"/>
      <c r="G24" s="21"/>
      <c r="H24" s="21"/>
      <c r="I24" s="21"/>
      <c r="J24" s="17"/>
    </row>
    <row r="25" spans="1:11" ht="15" customHeight="1">
      <c r="A25" s="18" t="s">
        <v>280</v>
      </c>
      <c r="B25" s="317"/>
      <c r="C25" s="378">
        <v>1</v>
      </c>
      <c r="D25" s="376">
        <v>-33895</v>
      </c>
      <c r="E25" s="2">
        <v>-211</v>
      </c>
      <c r="F25" s="34">
        <f t="shared" ref="F25:F30" si="2">SUM(D25:E25)</f>
        <v>-34106</v>
      </c>
      <c r="G25" s="22"/>
      <c r="H25" s="22">
        <f>SUM(F25:G25)</f>
        <v>-34106</v>
      </c>
      <c r="I25" s="22">
        <f>'Appendix B'!H34</f>
        <v>31000</v>
      </c>
      <c r="J25" s="19">
        <f>SUM(H25:I25)</f>
        <v>-3106</v>
      </c>
      <c r="K25" s="2" t="s">
        <v>379</v>
      </c>
    </row>
    <row r="26" spans="1:11" ht="15" customHeight="1">
      <c r="A26" s="18" t="s">
        <v>279</v>
      </c>
      <c r="B26" s="317"/>
      <c r="C26" s="378">
        <v>2</v>
      </c>
      <c r="D26" s="376">
        <v>-12473</v>
      </c>
      <c r="E26" s="2">
        <v>-6</v>
      </c>
      <c r="F26" s="34">
        <f t="shared" si="2"/>
        <v>-12479</v>
      </c>
      <c r="G26" s="22">
        <v>9500</v>
      </c>
      <c r="H26" s="22">
        <f t="shared" ref="H26:H43" si="3">SUM(F26:G26)</f>
        <v>-2979</v>
      </c>
      <c r="I26" s="22"/>
      <c r="J26" s="19">
        <f t="shared" ref="J26:J43" si="4">SUM(H26:I26)</f>
        <v>-2979</v>
      </c>
      <c r="K26" s="2" t="s">
        <v>379</v>
      </c>
    </row>
    <row r="27" spans="1:11" ht="15" customHeight="1">
      <c r="A27" s="18" t="s">
        <v>99</v>
      </c>
      <c r="B27" s="317"/>
      <c r="C27" s="378">
        <v>3</v>
      </c>
      <c r="D27" s="376">
        <v>62169</v>
      </c>
      <c r="E27" s="2">
        <f>2074+15805</f>
        <v>17879</v>
      </c>
      <c r="F27" s="34">
        <f t="shared" si="2"/>
        <v>80048</v>
      </c>
      <c r="G27" s="22"/>
      <c r="H27" s="22">
        <f t="shared" si="3"/>
        <v>80048</v>
      </c>
      <c r="I27" s="22"/>
      <c r="J27" s="19">
        <f t="shared" si="4"/>
        <v>80048</v>
      </c>
      <c r="K27" s="2" t="s">
        <v>379</v>
      </c>
    </row>
    <row r="28" spans="1:11" ht="15" customHeight="1">
      <c r="A28" s="18" t="s">
        <v>66</v>
      </c>
      <c r="B28" s="317"/>
      <c r="C28" s="17">
        <v>4</v>
      </c>
      <c r="D28" s="376">
        <v>38309</v>
      </c>
      <c r="E28" s="2">
        <f>-8912-15</f>
        <v>-8927</v>
      </c>
      <c r="F28" s="34">
        <f t="shared" si="2"/>
        <v>29382</v>
      </c>
      <c r="G28" s="22"/>
      <c r="H28" s="22">
        <f t="shared" si="3"/>
        <v>29382</v>
      </c>
      <c r="I28" s="22"/>
      <c r="J28" s="19">
        <f t="shared" si="4"/>
        <v>29382</v>
      </c>
      <c r="K28" s="2" t="s">
        <v>379</v>
      </c>
    </row>
    <row r="29" spans="1:11" ht="15" customHeight="1">
      <c r="A29" s="345" t="s">
        <v>51</v>
      </c>
      <c r="B29" s="359"/>
      <c r="C29" s="17">
        <v>5</v>
      </c>
      <c r="D29" s="317">
        <v>-8306</v>
      </c>
      <c r="E29" s="2">
        <f>26449-1908</f>
        <v>24541</v>
      </c>
      <c r="F29" s="34">
        <f t="shared" si="2"/>
        <v>16235</v>
      </c>
      <c r="G29" s="22"/>
      <c r="H29" s="22">
        <f t="shared" si="3"/>
        <v>16235</v>
      </c>
      <c r="I29" s="22"/>
      <c r="J29" s="19">
        <f t="shared" si="4"/>
        <v>16235</v>
      </c>
      <c r="K29" s="2" t="s">
        <v>379</v>
      </c>
    </row>
    <row r="30" spans="1:11" ht="15" customHeight="1">
      <c r="A30" s="345" t="s">
        <v>161</v>
      </c>
      <c r="B30" s="359"/>
      <c r="C30" s="17">
        <v>6</v>
      </c>
      <c r="D30" s="317">
        <v>-4318</v>
      </c>
      <c r="E30" s="2">
        <v>0</v>
      </c>
      <c r="F30" s="34">
        <f t="shared" si="2"/>
        <v>-4318</v>
      </c>
      <c r="G30" s="22">
        <v>8500</v>
      </c>
      <c r="H30" s="22">
        <f t="shared" si="3"/>
        <v>4182</v>
      </c>
      <c r="I30" s="22"/>
      <c r="J30" s="19">
        <f t="shared" si="4"/>
        <v>4182</v>
      </c>
      <c r="K30" s="2" t="s">
        <v>379</v>
      </c>
    </row>
    <row r="31" spans="1:11" ht="15" customHeight="1">
      <c r="A31" s="379" t="s">
        <v>67</v>
      </c>
      <c r="B31" s="403"/>
      <c r="C31" s="378"/>
      <c r="D31" s="376"/>
      <c r="F31" s="34"/>
      <c r="G31" s="22"/>
      <c r="H31" s="22">
        <f t="shared" si="3"/>
        <v>0</v>
      </c>
      <c r="I31" s="22"/>
      <c r="J31" s="19">
        <f t="shared" si="4"/>
        <v>0</v>
      </c>
    </row>
    <row r="32" spans="1:11" ht="15" customHeight="1">
      <c r="A32" s="345" t="s">
        <v>25</v>
      </c>
      <c r="B32" s="359"/>
      <c r="C32" s="17">
        <v>7</v>
      </c>
      <c r="D32" s="317">
        <v>4686</v>
      </c>
      <c r="E32" s="2">
        <f>37584-6</f>
        <v>37578</v>
      </c>
      <c r="F32" s="34">
        <f t="shared" ref="F32:F40" si="5">SUM(D32:E32)</f>
        <v>42264</v>
      </c>
      <c r="G32" s="22"/>
      <c r="H32" s="22">
        <f t="shared" si="3"/>
        <v>42264</v>
      </c>
      <c r="I32" s="22"/>
      <c r="J32" s="19">
        <f t="shared" si="4"/>
        <v>42264</v>
      </c>
      <c r="K32" s="2" t="s">
        <v>377</v>
      </c>
    </row>
    <row r="33" spans="1:11" ht="15" customHeight="1">
      <c r="A33" s="345" t="s">
        <v>96</v>
      </c>
      <c r="B33" s="359"/>
      <c r="C33" s="17">
        <v>8</v>
      </c>
      <c r="D33" s="317">
        <v>-2622</v>
      </c>
      <c r="E33" s="2">
        <v>0</v>
      </c>
      <c r="F33" s="34">
        <f t="shared" si="5"/>
        <v>-2622</v>
      </c>
      <c r="G33" s="22"/>
      <c r="H33" s="22">
        <f t="shared" si="3"/>
        <v>-2622</v>
      </c>
      <c r="I33" s="22"/>
      <c r="J33" s="19">
        <f t="shared" si="4"/>
        <v>-2622</v>
      </c>
      <c r="K33" s="2" t="s">
        <v>377</v>
      </c>
    </row>
    <row r="34" spans="1:11" ht="15" customHeight="1">
      <c r="A34" s="345" t="s">
        <v>97</v>
      </c>
      <c r="B34" s="359"/>
      <c r="C34" s="17">
        <v>9</v>
      </c>
      <c r="D34" s="317">
        <v>95416</v>
      </c>
      <c r="E34" s="2">
        <v>-128546</v>
      </c>
      <c r="F34" s="34">
        <f t="shared" si="5"/>
        <v>-33130</v>
      </c>
      <c r="G34" s="22"/>
      <c r="H34" s="22">
        <f t="shared" si="3"/>
        <v>-33130</v>
      </c>
      <c r="I34" s="22"/>
      <c r="J34" s="19">
        <f t="shared" si="4"/>
        <v>-33130</v>
      </c>
      <c r="K34" s="2" t="s">
        <v>377</v>
      </c>
    </row>
    <row r="35" spans="1:11" ht="15" customHeight="1">
      <c r="A35" s="345" t="s">
        <v>98</v>
      </c>
      <c r="B35" s="359"/>
      <c r="C35" s="17">
        <v>10</v>
      </c>
      <c r="D35" s="317">
        <v>615421</v>
      </c>
      <c r="E35" s="2">
        <f>-513528+5656</f>
        <v>-507872</v>
      </c>
      <c r="F35" s="34">
        <f t="shared" si="5"/>
        <v>107549</v>
      </c>
      <c r="G35" s="22"/>
      <c r="H35" s="22">
        <f t="shared" si="3"/>
        <v>107549</v>
      </c>
      <c r="I35" s="22"/>
      <c r="J35" s="19">
        <f t="shared" si="4"/>
        <v>107549</v>
      </c>
      <c r="K35" s="2" t="s">
        <v>377</v>
      </c>
    </row>
    <row r="36" spans="1:11" ht="15" customHeight="1">
      <c r="A36" s="345" t="s">
        <v>44</v>
      </c>
      <c r="B36" s="359"/>
      <c r="C36" s="17">
        <v>11</v>
      </c>
      <c r="D36" s="317">
        <v>-182945</v>
      </c>
      <c r="E36" s="2">
        <v>-10640</v>
      </c>
      <c r="F36" s="34">
        <f t="shared" si="5"/>
        <v>-193585</v>
      </c>
      <c r="G36" s="22"/>
      <c r="H36" s="22">
        <f t="shared" si="3"/>
        <v>-193585</v>
      </c>
      <c r="I36" s="22"/>
      <c r="J36" s="19">
        <f t="shared" si="4"/>
        <v>-193585</v>
      </c>
      <c r="K36" s="2" t="s">
        <v>379</v>
      </c>
    </row>
    <row r="37" spans="1:11" ht="15" customHeight="1">
      <c r="A37" s="345" t="s">
        <v>69</v>
      </c>
      <c r="B37" s="359"/>
      <c r="C37" s="17">
        <v>12</v>
      </c>
      <c r="D37" s="317">
        <f>544155-SUM(D32:D36)</f>
        <v>14199</v>
      </c>
      <c r="E37" s="2">
        <f>-653417-SUM(E32:E36)</f>
        <v>-43937</v>
      </c>
      <c r="F37" s="34">
        <f t="shared" si="5"/>
        <v>-29738</v>
      </c>
      <c r="G37" s="22"/>
      <c r="H37" s="22">
        <f t="shared" si="3"/>
        <v>-29738</v>
      </c>
      <c r="I37" s="22"/>
      <c r="J37" s="19">
        <f t="shared" si="4"/>
        <v>-29738</v>
      </c>
      <c r="K37" s="2" t="s">
        <v>377</v>
      </c>
    </row>
    <row r="38" spans="1:11" ht="15" customHeight="1">
      <c r="A38" s="379" t="s">
        <v>68</v>
      </c>
      <c r="B38" s="403"/>
      <c r="C38" s="17"/>
      <c r="D38" s="317"/>
      <c r="F38" s="34"/>
      <c r="G38" s="22"/>
      <c r="H38" s="22">
        <f t="shared" si="3"/>
        <v>0</v>
      </c>
      <c r="I38" s="22"/>
      <c r="J38" s="19">
        <f t="shared" si="4"/>
        <v>0</v>
      </c>
    </row>
    <row r="39" spans="1:11" ht="15" customHeight="1">
      <c r="A39" s="345" t="s">
        <v>43</v>
      </c>
      <c r="B39" s="359"/>
      <c r="C39" s="17">
        <v>13</v>
      </c>
      <c r="D39" s="317">
        <v>21476</v>
      </c>
      <c r="E39" s="2">
        <v>-9986</v>
      </c>
      <c r="F39" s="34">
        <f t="shared" si="5"/>
        <v>11490</v>
      </c>
      <c r="G39" s="22"/>
      <c r="H39" s="22">
        <f t="shared" si="3"/>
        <v>11490</v>
      </c>
      <c r="I39" s="22"/>
      <c r="J39" s="19">
        <f t="shared" si="4"/>
        <v>11490</v>
      </c>
      <c r="K39" s="2" t="s">
        <v>379</v>
      </c>
    </row>
    <row r="40" spans="1:11" ht="15" customHeight="1">
      <c r="A40" s="345" t="s">
        <v>282</v>
      </c>
      <c r="B40" s="359"/>
      <c r="C40" s="17">
        <v>14</v>
      </c>
      <c r="D40" s="317">
        <f>-675304-14378</f>
        <v>-689682</v>
      </c>
      <c r="E40" s="22">
        <f>-1540+3</f>
        <v>-1537</v>
      </c>
      <c r="F40" s="34">
        <f t="shared" si="5"/>
        <v>-691219</v>
      </c>
      <c r="G40" s="22">
        <v>100000</v>
      </c>
      <c r="H40" s="22">
        <f t="shared" si="3"/>
        <v>-591219</v>
      </c>
      <c r="I40" s="22"/>
      <c r="J40" s="19">
        <f t="shared" si="4"/>
        <v>-591219</v>
      </c>
      <c r="K40" s="2" t="s">
        <v>379</v>
      </c>
    </row>
    <row r="41" spans="1:11" ht="15" customHeight="1">
      <c r="A41" s="468" t="s">
        <v>281</v>
      </c>
      <c r="B41" s="404"/>
      <c r="C41" s="17"/>
      <c r="D41" s="317"/>
      <c r="E41" s="22"/>
      <c r="F41" s="34"/>
      <c r="G41" s="22"/>
      <c r="H41" s="22">
        <f t="shared" si="3"/>
        <v>0</v>
      </c>
      <c r="I41" s="22"/>
      <c r="J41" s="19">
        <f t="shared" si="4"/>
        <v>0</v>
      </c>
    </row>
    <row r="42" spans="1:11" ht="15" customHeight="1">
      <c r="A42" s="345" t="s">
        <v>55</v>
      </c>
      <c r="B42" s="359"/>
      <c r="C42" s="17">
        <v>15</v>
      </c>
      <c r="D42" s="317">
        <v>-24874</v>
      </c>
      <c r="E42" s="9">
        <f>22861-162</f>
        <v>22699</v>
      </c>
      <c r="F42" s="34">
        <f>SUM(D42:E42)</f>
        <v>-2175</v>
      </c>
      <c r="G42" s="22">
        <v>0</v>
      </c>
      <c r="H42" s="22">
        <f t="shared" si="3"/>
        <v>-2175</v>
      </c>
      <c r="I42" s="22"/>
      <c r="J42" s="19">
        <f t="shared" si="4"/>
        <v>-2175</v>
      </c>
      <c r="K42" s="2" t="s">
        <v>379</v>
      </c>
    </row>
    <row r="43" spans="1:11" ht="15" customHeight="1">
      <c r="A43" s="346" t="s">
        <v>21</v>
      </c>
      <c r="B43" s="346"/>
      <c r="C43" s="302" t="s">
        <v>6</v>
      </c>
      <c r="D43" s="280">
        <f>D16-SUM(D25:D42)-D50</f>
        <v>0</v>
      </c>
      <c r="E43" s="28">
        <f>E16+F16-SUM(E25:E42)-E50</f>
        <v>5657</v>
      </c>
      <c r="F43" s="289">
        <f>SUM(D43:E43)</f>
        <v>5657</v>
      </c>
      <c r="G43" s="28">
        <v>0</v>
      </c>
      <c r="H43" s="22">
        <f t="shared" si="3"/>
        <v>5657</v>
      </c>
      <c r="I43" s="28"/>
      <c r="J43" s="19">
        <f t="shared" si="4"/>
        <v>5657</v>
      </c>
    </row>
    <row r="44" spans="1:11" ht="15" hidden="1" customHeight="1">
      <c r="A44" s="325"/>
      <c r="B44" s="325"/>
      <c r="C44" s="299"/>
      <c r="D44" s="347">
        <f>SUM(D24:D43)</f>
        <v>-107439</v>
      </c>
      <c r="E44" s="41">
        <f>SUM(E24:E43)</f>
        <v>-603308</v>
      </c>
      <c r="F44" s="41">
        <f>SUM(F24:F43)</f>
        <v>-710747</v>
      </c>
      <c r="G44" s="41">
        <f>SUM(G24:G43)</f>
        <v>118000</v>
      </c>
      <c r="H44" s="41">
        <f t="shared" ref="H44:I44" si="6">SUM(H24:H43)</f>
        <v>-592747</v>
      </c>
      <c r="I44" s="41">
        <f t="shared" si="6"/>
        <v>31000</v>
      </c>
      <c r="J44" s="41">
        <f>SUM(J24:J43)</f>
        <v>-561747</v>
      </c>
    </row>
    <row r="45" spans="1:11" ht="8.25" hidden="1" customHeight="1">
      <c r="A45" s="18"/>
      <c r="B45" s="18"/>
      <c r="C45" s="349"/>
      <c r="D45" s="376" t="s">
        <v>6</v>
      </c>
      <c r="F45" s="34"/>
      <c r="G45" s="22"/>
      <c r="H45" s="22"/>
      <c r="I45" s="22"/>
      <c r="J45" s="19"/>
    </row>
    <row r="46" spans="1:11" ht="15" hidden="1" customHeight="1">
      <c r="A46" s="379" t="s">
        <v>125</v>
      </c>
      <c r="B46" s="379"/>
      <c r="C46" s="349"/>
      <c r="D46" s="376"/>
      <c r="F46" s="34"/>
      <c r="G46" s="22"/>
      <c r="H46" s="22"/>
      <c r="I46" s="22"/>
      <c r="J46" s="19"/>
    </row>
    <row r="47" spans="1:11" ht="15" hidden="1" customHeight="1">
      <c r="A47" s="380" t="s">
        <v>127</v>
      </c>
      <c r="B47" s="380"/>
      <c r="C47" s="383">
        <v>15</v>
      </c>
      <c r="D47" s="317"/>
      <c r="F47" s="34">
        <f>SUM(D47:E47)</f>
        <v>0</v>
      </c>
      <c r="G47" s="22">
        <v>0</v>
      </c>
      <c r="H47" s="22">
        <v>0</v>
      </c>
      <c r="I47" s="22">
        <v>0</v>
      </c>
      <c r="J47" s="19">
        <f>SUM(F47:G47)</f>
        <v>0</v>
      </c>
    </row>
    <row r="48" spans="1:11" ht="15" hidden="1" customHeight="1">
      <c r="A48" s="381" t="s">
        <v>54</v>
      </c>
      <c r="B48" s="381"/>
      <c r="C48" s="383">
        <v>16</v>
      </c>
      <c r="D48" s="317"/>
      <c r="F48" s="34">
        <f>SUM(D48:E48)</f>
        <v>0</v>
      </c>
      <c r="G48" s="22">
        <v>0</v>
      </c>
      <c r="H48" s="22">
        <v>0</v>
      </c>
      <c r="I48" s="22">
        <v>0</v>
      </c>
      <c r="J48" s="19">
        <f>SUM(F48:G48)</f>
        <v>0</v>
      </c>
    </row>
    <row r="49" spans="1:11" ht="15" hidden="1" customHeight="1">
      <c r="A49" s="381" t="s">
        <v>116</v>
      </c>
      <c r="B49" s="381"/>
      <c r="C49" s="383">
        <v>17</v>
      </c>
      <c r="D49" s="317"/>
      <c r="F49" s="34">
        <f>SUM(D49:E49)</f>
        <v>0</v>
      </c>
      <c r="G49" s="22">
        <v>0</v>
      </c>
      <c r="H49" s="22">
        <v>0</v>
      </c>
      <c r="I49" s="22">
        <v>0</v>
      </c>
      <c r="J49" s="19">
        <f>SUM(F49:G49)</f>
        <v>0</v>
      </c>
    </row>
    <row r="50" spans="1:11" ht="15" hidden="1" customHeight="1">
      <c r="A50" s="345"/>
      <c r="B50" s="345"/>
      <c r="C50" s="21"/>
      <c r="D50" s="281">
        <f>SUM(D47:D49)</f>
        <v>0</v>
      </c>
      <c r="E50" s="42">
        <f>SUM(E47:E49)</f>
        <v>0</v>
      </c>
      <c r="F50" s="42">
        <f>SUM(F47:F49)</f>
        <v>0</v>
      </c>
      <c r="G50" s="42">
        <f>SUM(G47:G49)</f>
        <v>0</v>
      </c>
      <c r="H50" s="42">
        <f t="shared" ref="H50:I50" si="7">SUM(H47:H49)</f>
        <v>0</v>
      </c>
      <c r="I50" s="42">
        <f t="shared" si="7"/>
        <v>0</v>
      </c>
      <c r="J50" s="42">
        <f>SUM(J47:J49)</f>
        <v>0</v>
      </c>
    </row>
    <row r="51" spans="1:11" ht="5.25" hidden="1" customHeight="1">
      <c r="A51" s="402"/>
      <c r="B51" s="360"/>
      <c r="C51" s="17"/>
      <c r="D51" s="39"/>
      <c r="F51" s="382"/>
      <c r="G51" s="39"/>
      <c r="H51" s="39"/>
      <c r="I51" s="39"/>
      <c r="J51" s="19"/>
    </row>
    <row r="52" spans="1:11" ht="16.5" thickBot="1">
      <c r="A52" s="401" t="s">
        <v>5</v>
      </c>
      <c r="B52" s="401"/>
      <c r="C52" s="384"/>
      <c r="D52" s="32">
        <f>+D44+D50</f>
        <v>-107439</v>
      </c>
      <c r="E52" s="10">
        <f>+E44+E50</f>
        <v>-603308</v>
      </c>
      <c r="F52" s="32">
        <f>+F44+F50</f>
        <v>-710747</v>
      </c>
      <c r="G52" s="32">
        <f>+G44+G50</f>
        <v>118000</v>
      </c>
      <c r="H52" s="32">
        <f t="shared" ref="H52:I52" si="8">+H44+H50</f>
        <v>-592747</v>
      </c>
      <c r="I52" s="32">
        <f t="shared" si="8"/>
        <v>31000</v>
      </c>
      <c r="J52" s="385">
        <f>+J44+J50</f>
        <v>-561747</v>
      </c>
    </row>
    <row r="53" spans="1:11" ht="16.5" thickTop="1">
      <c r="A53" s="6"/>
      <c r="B53" s="6"/>
      <c r="D53" s="13"/>
      <c r="E53" s="13"/>
      <c r="F53" s="13"/>
      <c r="G53" s="13"/>
      <c r="H53" s="13"/>
      <c r="I53" s="13"/>
      <c r="J53" s="13"/>
    </row>
    <row r="54" spans="1:11" ht="15.75">
      <c r="A54" s="6"/>
      <c r="B54" s="6"/>
      <c r="C54" s="45"/>
      <c r="D54" s="13"/>
      <c r="E54" s="13"/>
      <c r="F54" s="13"/>
      <c r="G54" s="13"/>
      <c r="H54" s="13"/>
      <c r="I54" s="13"/>
      <c r="J54" s="13"/>
    </row>
    <row r="55" spans="1:11" ht="15.75">
      <c r="A55" s="6"/>
      <c r="B55" s="6"/>
      <c r="C55" s="45"/>
      <c r="D55" s="13"/>
      <c r="E55" s="13"/>
      <c r="F55" s="13"/>
      <c r="G55" s="13"/>
      <c r="H55" s="13"/>
      <c r="I55" s="13"/>
      <c r="J55" s="13"/>
    </row>
    <row r="56" spans="1:11" ht="31.5" customHeight="1">
      <c r="A56" s="294" t="s">
        <v>3</v>
      </c>
      <c r="B56" s="393" t="s">
        <v>460</v>
      </c>
      <c r="C56" s="386"/>
      <c r="D56" s="387"/>
      <c r="E56" s="387"/>
      <c r="F56" s="387"/>
      <c r="G56" s="387"/>
      <c r="H56" s="387"/>
      <c r="I56" s="387"/>
      <c r="J56" s="388"/>
    </row>
    <row r="57" spans="1:11" s="9" customFormat="1" ht="6.75" customHeight="1">
      <c r="A57" s="39"/>
      <c r="B57" s="364"/>
      <c r="C57" s="341"/>
      <c r="D57" s="364"/>
      <c r="E57" s="364"/>
      <c r="F57" s="364"/>
      <c r="G57" s="364"/>
      <c r="H57" s="364"/>
      <c r="I57" s="364"/>
      <c r="J57" s="279"/>
    </row>
    <row r="58" spans="1:11" s="9" customFormat="1">
      <c r="A58" s="362" t="s">
        <v>403</v>
      </c>
      <c r="B58" s="9" t="s">
        <v>543</v>
      </c>
      <c r="C58" s="5"/>
      <c r="J58" s="317"/>
      <c r="K58" s="2" t="s">
        <v>379</v>
      </c>
    </row>
    <row r="59" spans="1:11" s="9" customFormat="1">
      <c r="A59" s="362" t="s">
        <v>404</v>
      </c>
      <c r="B59" s="9" t="s">
        <v>504</v>
      </c>
      <c r="C59" s="5"/>
      <c r="J59" s="317"/>
      <c r="K59" s="2" t="s">
        <v>379</v>
      </c>
    </row>
    <row r="60" spans="1:11" s="9" customFormat="1">
      <c r="A60" s="362" t="s">
        <v>405</v>
      </c>
      <c r="B60" s="9" t="s">
        <v>461</v>
      </c>
      <c r="C60" s="5"/>
      <c r="J60" s="317"/>
      <c r="K60" s="2" t="s">
        <v>379</v>
      </c>
    </row>
    <row r="61" spans="1:11" s="9" customFormat="1">
      <c r="A61" s="362" t="s">
        <v>406</v>
      </c>
      <c r="B61" s="9" t="s">
        <v>473</v>
      </c>
      <c r="C61" s="5"/>
      <c r="J61" s="317"/>
      <c r="K61" s="2" t="s">
        <v>379</v>
      </c>
    </row>
    <row r="62" spans="1:11" s="9" customFormat="1">
      <c r="A62" s="362" t="s">
        <v>407</v>
      </c>
      <c r="B62" s="9" t="s">
        <v>502</v>
      </c>
      <c r="C62" s="5"/>
      <c r="J62" s="317"/>
      <c r="K62" s="2" t="s">
        <v>379</v>
      </c>
    </row>
    <row r="63" spans="1:11" s="9" customFormat="1" ht="15" customHeight="1">
      <c r="A63" s="290" t="s">
        <v>408</v>
      </c>
      <c r="B63" s="515" t="s">
        <v>524</v>
      </c>
      <c r="C63" s="516"/>
      <c r="D63" s="516"/>
      <c r="E63" s="516"/>
      <c r="F63" s="516"/>
      <c r="G63" s="516"/>
      <c r="H63" s="516"/>
      <c r="I63" s="516"/>
      <c r="J63" s="517"/>
      <c r="K63" s="2" t="s">
        <v>379</v>
      </c>
    </row>
    <row r="64" spans="1:11" s="9" customFormat="1" ht="15" customHeight="1">
      <c r="A64" s="290" t="s">
        <v>409</v>
      </c>
      <c r="B64" s="515" t="s">
        <v>469</v>
      </c>
      <c r="C64" s="516"/>
      <c r="D64" s="516"/>
      <c r="E64" s="516"/>
      <c r="F64" s="516"/>
      <c r="G64" s="516"/>
      <c r="H64" s="516"/>
      <c r="I64" s="516"/>
      <c r="J64" s="517"/>
      <c r="K64" s="2" t="s">
        <v>377</v>
      </c>
    </row>
    <row r="65" spans="1:11" s="9" customFormat="1">
      <c r="A65" s="290" t="s">
        <v>410</v>
      </c>
      <c r="B65" s="43" t="s">
        <v>506</v>
      </c>
      <c r="C65" s="43"/>
      <c r="D65" s="43"/>
      <c r="E65" s="43"/>
      <c r="F65" s="43"/>
      <c r="G65" s="43"/>
      <c r="H65" s="43"/>
      <c r="I65" s="43"/>
      <c r="J65" s="376"/>
      <c r="K65" s="2" t="s">
        <v>377</v>
      </c>
    </row>
    <row r="66" spans="1:11" s="9" customFormat="1" ht="15.75" customHeight="1">
      <c r="A66" s="290" t="s">
        <v>411</v>
      </c>
      <c r="B66" s="515" t="s">
        <v>470</v>
      </c>
      <c r="C66" s="516"/>
      <c r="D66" s="516"/>
      <c r="E66" s="516"/>
      <c r="F66" s="516"/>
      <c r="G66" s="516"/>
      <c r="H66" s="516"/>
      <c r="I66" s="516"/>
      <c r="J66" s="517"/>
      <c r="K66" s="2" t="s">
        <v>377</v>
      </c>
    </row>
    <row r="67" spans="1:11" s="9" customFormat="1" ht="15" customHeight="1">
      <c r="A67" s="290" t="s">
        <v>412</v>
      </c>
      <c r="B67" s="515" t="s">
        <v>474</v>
      </c>
      <c r="C67" s="516"/>
      <c r="D67" s="516"/>
      <c r="E67" s="516"/>
      <c r="F67" s="516"/>
      <c r="G67" s="516"/>
      <c r="H67" s="516"/>
      <c r="I67" s="516"/>
      <c r="J67" s="517"/>
      <c r="K67" s="2" t="s">
        <v>377</v>
      </c>
    </row>
    <row r="68" spans="1:11" s="9" customFormat="1" ht="15" customHeight="1">
      <c r="A68" s="290" t="s">
        <v>413</v>
      </c>
      <c r="B68" s="515" t="s">
        <v>471</v>
      </c>
      <c r="C68" s="516"/>
      <c r="D68" s="516"/>
      <c r="E68" s="516"/>
      <c r="F68" s="516"/>
      <c r="G68" s="516"/>
      <c r="H68" s="516"/>
      <c r="I68" s="516"/>
      <c r="J68" s="517"/>
      <c r="K68" s="2" t="s">
        <v>379</v>
      </c>
    </row>
    <row r="69" spans="1:11" s="9" customFormat="1" ht="15" customHeight="1">
      <c r="A69" s="290" t="s">
        <v>414</v>
      </c>
      <c r="B69" s="515" t="s">
        <v>472</v>
      </c>
      <c r="C69" s="516"/>
      <c r="D69" s="516"/>
      <c r="E69" s="516"/>
      <c r="F69" s="516"/>
      <c r="G69" s="516"/>
      <c r="H69" s="516"/>
      <c r="I69" s="516"/>
      <c r="J69" s="517"/>
      <c r="K69" s="2" t="s">
        <v>377</v>
      </c>
    </row>
    <row r="70" spans="1:11" s="9" customFormat="1" ht="15" customHeight="1">
      <c r="A70" s="291" t="s">
        <v>415</v>
      </c>
      <c r="B70" s="515" t="s">
        <v>475</v>
      </c>
      <c r="C70" s="516"/>
      <c r="D70" s="516"/>
      <c r="E70" s="516"/>
      <c r="F70" s="516"/>
      <c r="G70" s="516"/>
      <c r="H70" s="516"/>
      <c r="I70" s="516"/>
      <c r="J70" s="517"/>
      <c r="K70" s="2" t="s">
        <v>379</v>
      </c>
    </row>
    <row r="71" spans="1:11" s="9" customFormat="1">
      <c r="A71" s="362" t="s">
        <v>416</v>
      </c>
      <c r="B71" s="9" t="s">
        <v>547</v>
      </c>
      <c r="C71" s="5"/>
      <c r="J71" s="317"/>
      <c r="K71" s="2" t="s">
        <v>379</v>
      </c>
    </row>
    <row r="72" spans="1:11" s="9" customFormat="1">
      <c r="A72" s="362"/>
      <c r="B72" s="9" t="s">
        <v>546</v>
      </c>
      <c r="C72" s="5"/>
      <c r="J72" s="317"/>
      <c r="K72" s="2"/>
    </row>
    <row r="73" spans="1:11" s="9" customFormat="1">
      <c r="A73" s="362"/>
      <c r="B73" s="9" t="s">
        <v>512</v>
      </c>
      <c r="C73" s="5"/>
      <c r="J73" s="317"/>
      <c r="K73" s="2"/>
    </row>
    <row r="74" spans="1:11" s="9" customFormat="1">
      <c r="A74" s="405" t="s">
        <v>417</v>
      </c>
      <c r="B74" s="7" t="s">
        <v>503</v>
      </c>
      <c r="C74" s="342"/>
      <c r="D74" s="7"/>
      <c r="E74" s="7"/>
      <c r="F74" s="7"/>
      <c r="G74" s="7"/>
      <c r="H74" s="7"/>
      <c r="I74" s="7"/>
      <c r="J74" s="280"/>
      <c r="K74" s="2" t="s">
        <v>379</v>
      </c>
    </row>
    <row r="75" spans="1:11" s="9" customFormat="1">
      <c r="C75" s="5"/>
    </row>
    <row r="76" spans="1:11" s="9" customFormat="1">
      <c r="A76" s="274" t="s">
        <v>434</v>
      </c>
      <c r="B76" s="275" t="s">
        <v>435</v>
      </c>
      <c r="C76" s="5"/>
    </row>
    <row r="77" spans="1:11" s="9" customFormat="1">
      <c r="A77" s="273"/>
      <c r="B77" s="275" t="s">
        <v>437</v>
      </c>
      <c r="C77" s="5"/>
    </row>
    <row r="78" spans="1:11" s="9" customFormat="1">
      <c r="A78" s="273"/>
      <c r="B78" s="336" t="s">
        <v>449</v>
      </c>
      <c r="C78" s="5"/>
    </row>
    <row r="79" spans="1:11" s="9" customFormat="1">
      <c r="A79" s="273"/>
      <c r="B79" s="336" t="s">
        <v>448</v>
      </c>
      <c r="C79" s="5"/>
    </row>
    <row r="80" spans="1:11" s="9" customFormat="1">
      <c r="A80" s="273"/>
      <c r="B80" s="275" t="s">
        <v>495</v>
      </c>
      <c r="C80" s="5"/>
    </row>
    <row r="81" spans="1:3" s="9" customFormat="1">
      <c r="A81" s="273"/>
      <c r="B81" s="275" t="s">
        <v>436</v>
      </c>
      <c r="C81" s="5"/>
    </row>
    <row r="82" spans="1:3" s="9" customFormat="1">
      <c r="B82" s="469">
        <f ca="1">NOW()</f>
        <v>40336.490004976855</v>
      </c>
      <c r="C82" s="5"/>
    </row>
    <row r="83" spans="1:3" s="9" customFormat="1">
      <c r="C83" s="5"/>
    </row>
  </sheetData>
  <mergeCells count="8">
    <mergeCell ref="A23:B23"/>
    <mergeCell ref="B70:J70"/>
    <mergeCell ref="B64:J64"/>
    <mergeCell ref="B66:J66"/>
    <mergeCell ref="B67:J67"/>
    <mergeCell ref="B68:J68"/>
    <mergeCell ref="B69:J69"/>
    <mergeCell ref="B63:J63"/>
  </mergeCells>
  <pageMargins left="0.74803149606299213" right="0.74803149606299213" top="0.59055118110236227" bottom="0.59055118110236227" header="0.51181102362204722" footer="0.51181102362204722"/>
  <pageSetup paperSize="9" scale="60" orientation="portrait" r:id="rId1"/>
  <headerFooter alignWithMargins="0">
    <oddFooter>&amp;C&amp;"Arial,Bold"&amp;12&amp;A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82"/>
  <sheetViews>
    <sheetView topLeftCell="A53" zoomScale="90" zoomScaleNormal="90" workbookViewId="0">
      <selection activeCell="B66" sqref="B66"/>
    </sheetView>
  </sheetViews>
  <sheetFormatPr defaultColWidth="9.140625" defaultRowHeight="15"/>
  <cols>
    <col min="1" max="1" width="6" style="2" customWidth="1"/>
    <col min="2" max="2" width="38.42578125" style="2" customWidth="1"/>
    <col min="3" max="3" width="7.5703125" style="8" customWidth="1"/>
    <col min="4" max="4" width="14.5703125" style="2" customWidth="1"/>
    <col min="5" max="5" width="12.85546875" style="2" customWidth="1"/>
    <col min="6" max="6" width="13.140625" style="2" customWidth="1"/>
    <col min="7" max="9" width="14" style="2" customWidth="1"/>
    <col min="10" max="10" width="13.28515625" style="2" bestFit="1" customWidth="1"/>
    <col min="11" max="11" width="9.7109375" style="2" customWidth="1"/>
    <col min="12" max="12" width="11" style="2" bestFit="1" customWidth="1"/>
    <col min="13" max="13" width="10.28515625" style="2" customWidth="1"/>
    <col min="14" max="16384" width="9.140625" style="2"/>
  </cols>
  <sheetData>
    <row r="1" spans="1:10" ht="15.75">
      <c r="A1" s="6" t="s">
        <v>263</v>
      </c>
      <c r="B1" s="1"/>
      <c r="E1" s="40"/>
      <c r="J1" s="3" t="s">
        <v>17</v>
      </c>
    </row>
    <row r="2" spans="1:10">
      <c r="G2" s="2" t="s">
        <v>6</v>
      </c>
      <c r="H2" s="2" t="s">
        <v>6</v>
      </c>
      <c r="I2" s="2" t="s">
        <v>6</v>
      </c>
    </row>
    <row r="3" spans="1:10" ht="15.75">
      <c r="B3" s="1"/>
    </row>
    <row r="4" spans="1:10" ht="15.75">
      <c r="A4" s="303" t="s">
        <v>10</v>
      </c>
      <c r="B4" s="420"/>
      <c r="C4" s="306"/>
      <c r="D4" s="328" t="s">
        <v>22</v>
      </c>
      <c r="E4" s="305" t="s">
        <v>22</v>
      </c>
      <c r="F4" s="305" t="s">
        <v>24</v>
      </c>
      <c r="G4" s="305" t="s">
        <v>34</v>
      </c>
      <c r="H4" s="305" t="s">
        <v>0</v>
      </c>
      <c r="I4" s="305" t="s">
        <v>34</v>
      </c>
      <c r="J4" s="305" t="s">
        <v>0</v>
      </c>
    </row>
    <row r="5" spans="1:10" ht="15.75">
      <c r="A5" s="329"/>
      <c r="B5" s="389"/>
      <c r="C5" s="309"/>
      <c r="D5" s="331" t="s">
        <v>8</v>
      </c>
      <c r="E5" s="310" t="s">
        <v>23</v>
      </c>
      <c r="F5" s="310"/>
      <c r="G5" s="310" t="s">
        <v>33</v>
      </c>
      <c r="H5" s="310"/>
      <c r="I5" s="310" t="s">
        <v>33</v>
      </c>
      <c r="J5" s="310"/>
    </row>
    <row r="6" spans="1:10" ht="15.75">
      <c r="A6" s="329"/>
      <c r="B6" s="389"/>
      <c r="C6" s="309"/>
      <c r="D6" s="331"/>
      <c r="E6" s="310"/>
      <c r="F6" s="310"/>
      <c r="G6" s="310" t="s">
        <v>507</v>
      </c>
      <c r="H6" s="310"/>
      <c r="I6" s="310" t="s">
        <v>508</v>
      </c>
      <c r="J6" s="310"/>
    </row>
    <row r="7" spans="1:10" ht="15.75">
      <c r="A7" s="332" t="s">
        <v>264</v>
      </c>
      <c r="B7" s="421"/>
      <c r="C7" s="372"/>
      <c r="D7" s="334" t="s">
        <v>7</v>
      </c>
      <c r="E7" s="314" t="s">
        <v>7</v>
      </c>
      <c r="F7" s="314" t="s">
        <v>7</v>
      </c>
      <c r="G7" s="314" t="s">
        <v>7</v>
      </c>
      <c r="H7" s="314" t="s">
        <v>7</v>
      </c>
      <c r="I7" s="314" t="s">
        <v>7</v>
      </c>
      <c r="J7" s="314" t="s">
        <v>7</v>
      </c>
    </row>
    <row r="8" spans="1:10" ht="15.75">
      <c r="A8" s="324"/>
      <c r="B8" s="364"/>
      <c r="C8" s="341"/>
      <c r="D8" s="25"/>
      <c r="E8" s="20"/>
      <c r="F8" s="20"/>
      <c r="G8" s="39"/>
      <c r="H8" s="39"/>
      <c r="I8" s="39"/>
      <c r="J8" s="20"/>
    </row>
    <row r="9" spans="1:10" ht="15.75">
      <c r="A9" s="18" t="s">
        <v>4</v>
      </c>
      <c r="B9" s="9"/>
      <c r="C9" s="5"/>
      <c r="D9" s="18">
        <v>9167000</v>
      </c>
      <c r="E9" s="22">
        <v>-7456900</v>
      </c>
      <c r="F9" s="22">
        <v>-1337700</v>
      </c>
      <c r="G9" s="18"/>
      <c r="H9" s="29">
        <f>SUM(D9:G9)</f>
        <v>372400</v>
      </c>
      <c r="I9" s="317"/>
      <c r="J9" s="29">
        <f>SUM(D9:F9)</f>
        <v>372400</v>
      </c>
    </row>
    <row r="10" spans="1:10" ht="15.75">
      <c r="A10" s="26" t="s">
        <v>52</v>
      </c>
      <c r="B10" s="7"/>
      <c r="C10" s="342"/>
      <c r="D10" s="26">
        <v>8361290</v>
      </c>
      <c r="E10" s="28">
        <v>-7338930</v>
      </c>
      <c r="F10" s="28">
        <f>-1337720</f>
        <v>-1337720</v>
      </c>
      <c r="G10" s="26"/>
      <c r="H10" s="30">
        <f>SUM(D10:G10)</f>
        <v>-315360</v>
      </c>
      <c r="I10" s="280"/>
      <c r="J10" s="30">
        <f>SUM(D10:F10)</f>
        <v>-315360</v>
      </c>
    </row>
    <row r="11" spans="1:10" ht="6.75" customHeight="1">
      <c r="A11" s="325"/>
      <c r="B11" s="287"/>
      <c r="C11" s="375"/>
      <c r="D11" s="325"/>
      <c r="E11" s="42"/>
      <c r="F11" s="42"/>
      <c r="G11" s="287"/>
      <c r="H11" s="293"/>
      <c r="I11" s="287"/>
      <c r="J11" s="293"/>
    </row>
    <row r="12" spans="1:10" ht="15.75">
      <c r="A12" s="297" t="s">
        <v>9</v>
      </c>
      <c r="B12" s="287"/>
      <c r="C12" s="375"/>
      <c r="D12" s="297">
        <f>+D10-D9</f>
        <v>-805710</v>
      </c>
      <c r="E12" s="293">
        <f>+E10-E9</f>
        <v>117970</v>
      </c>
      <c r="F12" s="293">
        <f>+F10-F9</f>
        <v>-20</v>
      </c>
      <c r="G12" s="287">
        <f t="shared" ref="G12:J12" si="0">+G10-G9</f>
        <v>0</v>
      </c>
      <c r="H12" s="293">
        <f t="shared" si="0"/>
        <v>-687760</v>
      </c>
      <c r="I12" s="287">
        <f t="shared" si="0"/>
        <v>0</v>
      </c>
      <c r="J12" s="293">
        <f t="shared" si="0"/>
        <v>-687760</v>
      </c>
    </row>
    <row r="13" spans="1:10" ht="6.75" customHeight="1">
      <c r="A13" s="325"/>
      <c r="B13" s="287"/>
      <c r="C13" s="375"/>
      <c r="D13" s="297"/>
      <c r="E13" s="293"/>
      <c r="F13" s="293"/>
      <c r="G13" s="287"/>
      <c r="H13" s="293"/>
      <c r="I13" s="287"/>
      <c r="J13" s="293"/>
    </row>
    <row r="14" spans="1:10" ht="15.75">
      <c r="A14" s="325" t="s">
        <v>30</v>
      </c>
      <c r="B14" s="287"/>
      <c r="C14" s="375"/>
      <c r="D14" s="325"/>
      <c r="E14" s="42"/>
      <c r="F14" s="42"/>
      <c r="G14" s="287">
        <f>'Appendix B'!H70-I14</f>
        <v>590800</v>
      </c>
      <c r="H14" s="293">
        <f>SUM(D14:G14)</f>
        <v>590800</v>
      </c>
      <c r="I14" s="281">
        <f>I51</f>
        <v>34700</v>
      </c>
      <c r="J14" s="293">
        <f>SUM(H14:I14)</f>
        <v>625500</v>
      </c>
    </row>
    <row r="15" spans="1:10" ht="5.25" customHeight="1">
      <c r="A15" s="18"/>
      <c r="B15" s="9"/>
      <c r="C15" s="5"/>
      <c r="D15" s="18"/>
      <c r="E15" s="22"/>
      <c r="F15" s="22"/>
      <c r="G15" s="13"/>
      <c r="H15" s="13"/>
      <c r="I15" s="13"/>
      <c r="J15" s="29"/>
    </row>
    <row r="16" spans="1:10" ht="16.5" thickBot="1">
      <c r="A16" s="31" t="s">
        <v>31</v>
      </c>
      <c r="B16" s="10"/>
      <c r="C16" s="412"/>
      <c r="D16" s="31">
        <f>+D12+D14</f>
        <v>-805710</v>
      </c>
      <c r="E16" s="32">
        <f>+E12+E14</f>
        <v>117970</v>
      </c>
      <c r="F16" s="32">
        <f>+F12+F14</f>
        <v>-20</v>
      </c>
      <c r="G16" s="32">
        <f>+G12+G14</f>
        <v>590800</v>
      </c>
      <c r="H16" s="32">
        <f t="shared" ref="H16:I16" si="1">+H12+H14</f>
        <v>-96960</v>
      </c>
      <c r="I16" s="32">
        <f t="shared" si="1"/>
        <v>34700</v>
      </c>
      <c r="J16" s="32">
        <f>SUM(J12:J14)</f>
        <v>-62260</v>
      </c>
    </row>
    <row r="17" spans="1:11" ht="16.5" thickTop="1">
      <c r="A17" s="6"/>
      <c r="B17" s="6"/>
      <c r="C17" s="4"/>
      <c r="D17" s="6"/>
      <c r="E17" s="6"/>
      <c r="F17" s="6"/>
      <c r="G17" s="6"/>
      <c r="H17" s="6"/>
      <c r="I17" s="6"/>
    </row>
    <row r="18" spans="1:11" ht="15.75">
      <c r="A18" s="6"/>
      <c r="B18" s="6"/>
      <c r="C18" s="4"/>
      <c r="D18" s="6"/>
      <c r="E18" s="6"/>
      <c r="F18" s="6"/>
      <c r="G18" s="6"/>
      <c r="H18" s="6"/>
      <c r="I18" s="6"/>
    </row>
    <row r="19" spans="1:11" ht="15.75">
      <c r="B19" s="1"/>
      <c r="D19" s="4"/>
      <c r="E19" s="4"/>
      <c r="F19" s="4"/>
      <c r="G19" s="4"/>
      <c r="H19" s="4"/>
      <c r="I19" s="4"/>
    </row>
    <row r="20" spans="1:11" ht="15.75">
      <c r="A20" s="303" t="s">
        <v>35</v>
      </c>
      <c r="B20" s="390"/>
      <c r="C20" s="304"/>
      <c r="D20" s="305" t="s">
        <v>8</v>
      </c>
      <c r="E20" s="306" t="s">
        <v>23</v>
      </c>
      <c r="F20" s="305" t="s">
        <v>47</v>
      </c>
      <c r="G20" s="328" t="s">
        <v>34</v>
      </c>
      <c r="H20" s="305" t="s">
        <v>32</v>
      </c>
      <c r="I20" s="307" t="s">
        <v>34</v>
      </c>
      <c r="J20" s="305" t="s">
        <v>32</v>
      </c>
    </row>
    <row r="21" spans="1:11" ht="15.75">
      <c r="A21" s="308"/>
      <c r="B21" s="392"/>
      <c r="C21" s="309"/>
      <c r="D21" s="310" t="s">
        <v>9</v>
      </c>
      <c r="E21" s="311" t="s">
        <v>9</v>
      </c>
      <c r="F21" s="310" t="s">
        <v>9</v>
      </c>
      <c r="G21" s="331" t="s">
        <v>33</v>
      </c>
      <c r="H21" s="310" t="s">
        <v>9</v>
      </c>
      <c r="I21" s="312" t="s">
        <v>33</v>
      </c>
      <c r="J21" s="310" t="s">
        <v>9</v>
      </c>
    </row>
    <row r="22" spans="1:11" ht="15.75">
      <c r="A22" s="308"/>
      <c r="B22" s="392"/>
      <c r="C22" s="309"/>
      <c r="D22" s="310"/>
      <c r="E22" s="311"/>
      <c r="F22" s="310"/>
      <c r="G22" s="331" t="s">
        <v>507</v>
      </c>
      <c r="H22" s="310"/>
      <c r="I22" s="312" t="s">
        <v>508</v>
      </c>
      <c r="J22" s="310"/>
    </row>
    <row r="23" spans="1:11" ht="15" customHeight="1">
      <c r="A23" s="513" t="s">
        <v>12</v>
      </c>
      <c r="B23" s="514"/>
      <c r="C23" s="313" t="s">
        <v>3</v>
      </c>
      <c r="D23" s="314" t="s">
        <v>7</v>
      </c>
      <c r="E23" s="315" t="s">
        <v>7</v>
      </c>
      <c r="F23" s="314" t="s">
        <v>7</v>
      </c>
      <c r="G23" s="334" t="s">
        <v>7</v>
      </c>
      <c r="H23" s="314" t="s">
        <v>7</v>
      </c>
      <c r="I23" s="316" t="s">
        <v>7</v>
      </c>
      <c r="J23" s="314" t="s">
        <v>7</v>
      </c>
    </row>
    <row r="24" spans="1:11" ht="15" customHeight="1">
      <c r="A24" s="422"/>
      <c r="B24" s="426"/>
      <c r="C24" s="427"/>
      <c r="D24" s="33"/>
      <c r="E24" s="9"/>
      <c r="F24" s="33"/>
      <c r="G24" s="9"/>
      <c r="H24" s="22"/>
      <c r="I24" s="9"/>
      <c r="J24" s="39"/>
    </row>
    <row r="25" spans="1:11" ht="15" customHeight="1">
      <c r="A25" s="18" t="s">
        <v>56</v>
      </c>
      <c r="B25" s="9"/>
      <c r="C25" s="427">
        <v>1</v>
      </c>
      <c r="D25" s="34">
        <v>-6048</v>
      </c>
      <c r="E25" s="9">
        <v>-8469</v>
      </c>
      <c r="F25" s="34">
        <f t="shared" ref="F25:F39" si="2">SUM(D25:E25)</f>
        <v>-14517</v>
      </c>
      <c r="G25" s="9">
        <f>2200</f>
        <v>2200</v>
      </c>
      <c r="H25" s="22">
        <f>SUM(F25:G25)</f>
        <v>-12317</v>
      </c>
      <c r="I25" s="9"/>
      <c r="J25" s="22">
        <f>SUM(H25:I25)</f>
        <v>-12317</v>
      </c>
      <c r="K25" s="2" t="s">
        <v>378</v>
      </c>
    </row>
    <row r="26" spans="1:11" ht="15" customHeight="1">
      <c r="A26" s="18" t="s">
        <v>36</v>
      </c>
      <c r="B26" s="9"/>
      <c r="C26" s="427">
        <v>2</v>
      </c>
      <c r="D26" s="34">
        <v>-36652</v>
      </c>
      <c r="E26" s="9">
        <v>-3297</v>
      </c>
      <c r="F26" s="34">
        <f t="shared" si="2"/>
        <v>-39949</v>
      </c>
      <c r="G26" s="9">
        <v>15000</v>
      </c>
      <c r="H26" s="22">
        <f t="shared" ref="H26:H42" si="3">SUM(F26:G26)</f>
        <v>-24949</v>
      </c>
      <c r="I26" s="9"/>
      <c r="J26" s="22">
        <f t="shared" ref="J26:J42" si="4">SUM(H26:I26)</f>
        <v>-24949</v>
      </c>
      <c r="K26" s="2" t="s">
        <v>378</v>
      </c>
    </row>
    <row r="27" spans="1:11" ht="15" customHeight="1">
      <c r="A27" s="18" t="s">
        <v>275</v>
      </c>
      <c r="B27" s="9"/>
      <c r="C27" s="427">
        <v>3</v>
      </c>
      <c r="D27" s="34">
        <v>2977</v>
      </c>
      <c r="E27" s="9">
        <v>25868</v>
      </c>
      <c r="F27" s="34">
        <f t="shared" ref="F27" si="5">SUM(D27:E27)</f>
        <v>28845</v>
      </c>
      <c r="G27" s="9"/>
      <c r="H27" s="22">
        <f t="shared" si="3"/>
        <v>28845</v>
      </c>
      <c r="I27" s="9"/>
      <c r="J27" s="22">
        <f t="shared" si="4"/>
        <v>28845</v>
      </c>
      <c r="K27" s="2" t="s">
        <v>378</v>
      </c>
    </row>
    <row r="28" spans="1:11" ht="15" customHeight="1">
      <c r="A28" s="345" t="s">
        <v>54</v>
      </c>
      <c r="B28" s="11"/>
      <c r="C28" s="427">
        <v>4</v>
      </c>
      <c r="D28" s="34">
        <v>-83500</v>
      </c>
      <c r="E28" s="9">
        <v>0</v>
      </c>
      <c r="F28" s="34">
        <f>SUM(D28:E28)</f>
        <v>-83500</v>
      </c>
      <c r="G28" s="9">
        <v>83500</v>
      </c>
      <c r="H28" s="22">
        <f t="shared" si="3"/>
        <v>0</v>
      </c>
      <c r="I28" s="9"/>
      <c r="J28" s="22">
        <f t="shared" si="4"/>
        <v>0</v>
      </c>
      <c r="K28" s="2" t="s">
        <v>378</v>
      </c>
    </row>
    <row r="29" spans="1:11" ht="15" customHeight="1">
      <c r="A29" s="345" t="s">
        <v>90</v>
      </c>
      <c r="B29" s="11"/>
      <c r="C29" s="427">
        <v>5</v>
      </c>
      <c r="D29" s="36">
        <v>-191176</v>
      </c>
      <c r="E29" s="9">
        <v>-54815</v>
      </c>
      <c r="F29" s="34">
        <f t="shared" si="2"/>
        <v>-245991</v>
      </c>
      <c r="G29" s="9">
        <v>236600</v>
      </c>
      <c r="H29" s="22">
        <f t="shared" si="3"/>
        <v>-9391</v>
      </c>
      <c r="I29" s="9"/>
      <c r="J29" s="22">
        <f t="shared" si="4"/>
        <v>-9391</v>
      </c>
      <c r="K29" s="2" t="s">
        <v>378</v>
      </c>
    </row>
    <row r="30" spans="1:11" ht="15" customHeight="1">
      <c r="A30" s="345" t="s">
        <v>58</v>
      </c>
      <c r="B30" s="11"/>
      <c r="C30" s="427">
        <v>6</v>
      </c>
      <c r="D30" s="36">
        <v>-149159</v>
      </c>
      <c r="E30" s="9">
        <v>40908</v>
      </c>
      <c r="F30" s="34">
        <f t="shared" si="2"/>
        <v>-108251</v>
      </c>
      <c r="G30" s="9">
        <f>175000</f>
        <v>175000</v>
      </c>
      <c r="H30" s="22">
        <f t="shared" si="3"/>
        <v>66749</v>
      </c>
      <c r="I30" s="9">
        <f>'Appendix B'!H61</f>
        <v>34700</v>
      </c>
      <c r="J30" s="22">
        <f t="shared" si="4"/>
        <v>101449</v>
      </c>
      <c r="K30" s="2" t="s">
        <v>378</v>
      </c>
    </row>
    <row r="31" spans="1:11" ht="15" customHeight="1">
      <c r="A31" s="345" t="s">
        <v>37</v>
      </c>
      <c r="B31" s="11"/>
      <c r="C31" s="427">
        <v>7</v>
      </c>
      <c r="D31" s="36">
        <v>-5860</v>
      </c>
      <c r="E31" s="9">
        <v>-637</v>
      </c>
      <c r="F31" s="34">
        <f t="shared" si="2"/>
        <v>-6497</v>
      </c>
      <c r="G31" s="9">
        <v>17000</v>
      </c>
      <c r="H31" s="22">
        <f t="shared" si="3"/>
        <v>10503</v>
      </c>
      <c r="I31" s="9"/>
      <c r="J31" s="22">
        <f t="shared" si="4"/>
        <v>10503</v>
      </c>
      <c r="K31" s="2" t="s">
        <v>378</v>
      </c>
    </row>
    <row r="32" spans="1:11" ht="15" customHeight="1">
      <c r="A32" s="345" t="s">
        <v>277</v>
      </c>
      <c r="B32" s="11"/>
      <c r="C32" s="427">
        <v>8</v>
      </c>
      <c r="D32" s="36">
        <v>-32450</v>
      </c>
      <c r="E32" s="9">
        <v>32400</v>
      </c>
      <c r="F32" s="34">
        <f t="shared" si="2"/>
        <v>-50</v>
      </c>
      <c r="G32" s="9"/>
      <c r="H32" s="22">
        <f t="shared" si="3"/>
        <v>-50</v>
      </c>
      <c r="I32" s="9"/>
      <c r="J32" s="22">
        <f t="shared" si="4"/>
        <v>-50</v>
      </c>
      <c r="K32" s="2" t="s">
        <v>378</v>
      </c>
    </row>
    <row r="33" spans="1:12" ht="15" customHeight="1">
      <c r="A33" s="345" t="s">
        <v>278</v>
      </c>
      <c r="B33" s="11"/>
      <c r="C33" s="427">
        <v>9</v>
      </c>
      <c r="D33" s="36">
        <v>-166017</v>
      </c>
      <c r="E33" s="9">
        <v>165924</v>
      </c>
      <c r="F33" s="34">
        <f t="shared" si="2"/>
        <v>-93</v>
      </c>
      <c r="G33" s="9"/>
      <c r="H33" s="22">
        <f t="shared" si="3"/>
        <v>-93</v>
      </c>
      <c r="I33" s="9"/>
      <c r="J33" s="22">
        <f t="shared" si="4"/>
        <v>-93</v>
      </c>
      <c r="K33" s="2" t="s">
        <v>378</v>
      </c>
    </row>
    <row r="34" spans="1:12" ht="15" customHeight="1">
      <c r="A34" s="345" t="s">
        <v>380</v>
      </c>
      <c r="B34" s="11"/>
      <c r="C34" s="427">
        <v>10</v>
      </c>
      <c r="D34" s="36">
        <v>-6027</v>
      </c>
      <c r="E34" s="9">
        <v>0</v>
      </c>
      <c r="F34" s="34">
        <f t="shared" ref="F34" si="6">SUM(D34:E34)</f>
        <v>-6027</v>
      </c>
      <c r="G34" s="9">
        <v>9200</v>
      </c>
      <c r="H34" s="22">
        <f t="shared" si="3"/>
        <v>3173</v>
      </c>
      <c r="I34" s="9"/>
      <c r="J34" s="22">
        <f t="shared" si="4"/>
        <v>3173</v>
      </c>
      <c r="K34" s="2" t="s">
        <v>378</v>
      </c>
    </row>
    <row r="35" spans="1:12" ht="15" customHeight="1">
      <c r="A35" s="345" t="s">
        <v>91</v>
      </c>
      <c r="B35" s="11"/>
      <c r="C35" s="427">
        <v>11</v>
      </c>
      <c r="D35" s="36">
        <v>16308</v>
      </c>
      <c r="E35" s="9">
        <v>-31889</v>
      </c>
      <c r="F35" s="34">
        <f t="shared" ref="F35:F37" si="7">SUM(D35:E35)</f>
        <v>-15581</v>
      </c>
      <c r="G35" s="9"/>
      <c r="H35" s="22">
        <f t="shared" si="3"/>
        <v>-15581</v>
      </c>
      <c r="I35" s="9"/>
      <c r="J35" s="22">
        <f t="shared" si="4"/>
        <v>-15581</v>
      </c>
      <c r="K35" s="2" t="s">
        <v>377</v>
      </c>
    </row>
    <row r="36" spans="1:12" ht="15" customHeight="1">
      <c r="A36" s="345" t="s">
        <v>38</v>
      </c>
      <c r="B36" s="11"/>
      <c r="C36" s="427">
        <v>12</v>
      </c>
      <c r="D36" s="36">
        <v>-18208</v>
      </c>
      <c r="E36" s="9">
        <v>0</v>
      </c>
      <c r="F36" s="34">
        <f t="shared" si="7"/>
        <v>-18208</v>
      </c>
      <c r="G36" s="9">
        <v>15300</v>
      </c>
      <c r="H36" s="22">
        <f t="shared" si="3"/>
        <v>-2908</v>
      </c>
      <c r="I36" s="9"/>
      <c r="J36" s="22">
        <f t="shared" si="4"/>
        <v>-2908</v>
      </c>
      <c r="K36" s="2" t="s">
        <v>377</v>
      </c>
    </row>
    <row r="37" spans="1:12" ht="15" customHeight="1">
      <c r="A37" s="345" t="s">
        <v>39</v>
      </c>
      <c r="B37" s="11"/>
      <c r="C37" s="427">
        <v>13</v>
      </c>
      <c r="D37" s="36">
        <v>-51713</v>
      </c>
      <c r="E37" s="9">
        <v>-7522</v>
      </c>
      <c r="F37" s="34">
        <f t="shared" si="7"/>
        <v>-59235</v>
      </c>
      <c r="G37" s="9">
        <v>37000</v>
      </c>
      <c r="H37" s="22">
        <f t="shared" si="3"/>
        <v>-22235</v>
      </c>
      <c r="I37" s="9"/>
      <c r="J37" s="22">
        <f t="shared" si="4"/>
        <v>-22235</v>
      </c>
      <c r="K37" s="2" t="s">
        <v>377</v>
      </c>
    </row>
    <row r="38" spans="1:12" ht="15" customHeight="1">
      <c r="A38" s="345" t="s">
        <v>2</v>
      </c>
      <c r="B38" s="11"/>
      <c r="C38" s="427">
        <v>14</v>
      </c>
      <c r="D38" s="36">
        <v>-104199</v>
      </c>
      <c r="E38" s="9">
        <f>-166+4</f>
        <v>-162</v>
      </c>
      <c r="F38" s="34">
        <f t="shared" si="2"/>
        <v>-104361</v>
      </c>
      <c r="G38" s="9"/>
      <c r="H38" s="22">
        <f t="shared" si="3"/>
        <v>-104361</v>
      </c>
      <c r="I38" s="9"/>
      <c r="J38" s="22">
        <f t="shared" si="4"/>
        <v>-104361</v>
      </c>
      <c r="K38" s="2" t="s">
        <v>379</v>
      </c>
    </row>
    <row r="39" spans="1:12" ht="15" customHeight="1">
      <c r="A39" s="345" t="s">
        <v>92</v>
      </c>
      <c r="B39" s="11"/>
      <c r="C39" s="427">
        <v>15</v>
      </c>
      <c r="D39" s="36">
        <v>0</v>
      </c>
      <c r="E39" s="9">
        <v>81895</v>
      </c>
      <c r="F39" s="34">
        <f t="shared" si="2"/>
        <v>81895</v>
      </c>
      <c r="G39" s="9"/>
      <c r="H39" s="22">
        <f t="shared" si="3"/>
        <v>81895</v>
      </c>
      <c r="I39" s="9"/>
      <c r="J39" s="22">
        <f t="shared" si="4"/>
        <v>81895</v>
      </c>
      <c r="K39" s="2" t="s">
        <v>379</v>
      </c>
    </row>
    <row r="40" spans="1:12" ht="15" customHeight="1">
      <c r="A40" s="345" t="s">
        <v>57</v>
      </c>
      <c r="B40" s="11"/>
      <c r="C40" s="427">
        <v>16</v>
      </c>
      <c r="D40" s="36">
        <v>4589</v>
      </c>
      <c r="E40" s="9">
        <v>-111004</v>
      </c>
      <c r="F40" s="34">
        <f>SUM(D40:E40)</f>
        <v>-106415</v>
      </c>
      <c r="G40" s="9"/>
      <c r="H40" s="22">
        <f t="shared" si="3"/>
        <v>-106415</v>
      </c>
      <c r="I40" s="9"/>
      <c r="J40" s="22">
        <f t="shared" si="4"/>
        <v>-106415</v>
      </c>
      <c r="K40" s="2" t="s">
        <v>379</v>
      </c>
      <c r="L40" s="9"/>
    </row>
    <row r="41" spans="1:12" ht="15" customHeight="1">
      <c r="A41" s="345" t="s">
        <v>276</v>
      </c>
      <c r="B41" s="11"/>
      <c r="C41" s="427">
        <v>17</v>
      </c>
      <c r="D41" s="36">
        <v>26299</v>
      </c>
      <c r="E41" s="9">
        <v>-31281</v>
      </c>
      <c r="F41" s="34">
        <f>SUM(D41:E41)</f>
        <v>-4982</v>
      </c>
      <c r="G41" s="9"/>
      <c r="H41" s="22">
        <f t="shared" si="3"/>
        <v>-4982</v>
      </c>
      <c r="I41" s="9"/>
      <c r="J41" s="22">
        <f t="shared" si="4"/>
        <v>-4982</v>
      </c>
      <c r="K41" s="2" t="s">
        <v>379</v>
      </c>
      <c r="L41" s="9"/>
    </row>
    <row r="42" spans="1:12" ht="16.5" customHeight="1">
      <c r="A42" s="345" t="s">
        <v>21</v>
      </c>
      <c r="B42" s="11"/>
      <c r="C42" s="427"/>
      <c r="D42" s="36">
        <f>D16-SUM(D25:D41)-D49</f>
        <v>-4874</v>
      </c>
      <c r="E42" s="36">
        <f>E16+F16-SUM(E25:E41)-E49</f>
        <v>20031</v>
      </c>
      <c r="F42" s="34">
        <f>SUM(D42:E42)</f>
        <v>15157</v>
      </c>
      <c r="G42" s="9"/>
      <c r="H42" s="22">
        <f t="shared" si="3"/>
        <v>15157</v>
      </c>
      <c r="I42" s="9"/>
      <c r="J42" s="22">
        <f t="shared" si="4"/>
        <v>15157</v>
      </c>
      <c r="L42" s="43"/>
    </row>
    <row r="43" spans="1:12" ht="15.75" hidden="1">
      <c r="A43" s="297"/>
      <c r="B43" s="374"/>
      <c r="C43" s="425"/>
      <c r="D43" s="42">
        <f>SUM(D25:D42)</f>
        <v>-805710</v>
      </c>
      <c r="E43" s="42">
        <f>SUM(E25:E42)</f>
        <v>117950</v>
      </c>
      <c r="F43" s="42">
        <f>SUM(F25:F42)</f>
        <v>-687760</v>
      </c>
      <c r="G43" s="325">
        <f>SUM(G25:G42)</f>
        <v>590800</v>
      </c>
      <c r="H43" s="42">
        <f t="shared" ref="H43:I43" si="8">SUM(H25:H42)</f>
        <v>-96960</v>
      </c>
      <c r="I43" s="281">
        <f t="shared" si="8"/>
        <v>34700</v>
      </c>
      <c r="J43" s="42">
        <f>SUM(J25:J42)</f>
        <v>-62260</v>
      </c>
      <c r="L43" s="13"/>
    </row>
    <row r="44" spans="1:12" ht="7.5" hidden="1" customHeight="1">
      <c r="A44" s="27"/>
      <c r="B44" s="13"/>
      <c r="C44" s="5"/>
      <c r="D44" s="29"/>
      <c r="E44" s="29"/>
      <c r="F44" s="29"/>
      <c r="G44" s="27"/>
      <c r="H44" s="29"/>
      <c r="I44" s="467"/>
      <c r="J44" s="29"/>
      <c r="L44" s="13"/>
    </row>
    <row r="45" spans="1:12" ht="15.75" hidden="1">
      <c r="A45" s="379" t="s">
        <v>125</v>
      </c>
      <c r="B45" s="428"/>
      <c r="C45" s="5"/>
      <c r="D45" s="29"/>
      <c r="E45" s="29"/>
      <c r="F45" s="29"/>
      <c r="G45" s="27"/>
      <c r="H45" s="29"/>
      <c r="I45" s="467"/>
      <c r="J45" s="29"/>
      <c r="L45" s="13"/>
    </row>
    <row r="46" spans="1:12" hidden="1">
      <c r="A46" s="18" t="s">
        <v>120</v>
      </c>
      <c r="B46" s="9"/>
      <c r="C46" s="5">
        <v>15</v>
      </c>
      <c r="D46" s="22"/>
      <c r="E46" s="22"/>
      <c r="F46" s="34">
        <f>SUM(D46:E46)</f>
        <v>0</v>
      </c>
      <c r="G46" s="18">
        <v>0</v>
      </c>
      <c r="H46" s="22">
        <v>0</v>
      </c>
      <c r="I46" s="317">
        <v>0</v>
      </c>
      <c r="J46" s="34">
        <f>SUM(F46:G46)</f>
        <v>0</v>
      </c>
    </row>
    <row r="47" spans="1:12" hidden="1">
      <c r="A47" s="18" t="s">
        <v>121</v>
      </c>
      <c r="B47" s="9"/>
      <c r="C47" s="5">
        <v>16</v>
      </c>
      <c r="D47" s="22"/>
      <c r="E47" s="22"/>
      <c r="F47" s="34">
        <f>SUM(D47:E47)</f>
        <v>0</v>
      </c>
      <c r="G47" s="18">
        <v>0</v>
      </c>
      <c r="H47" s="22">
        <v>0</v>
      </c>
      <c r="I47" s="317">
        <v>0</v>
      </c>
      <c r="J47" s="34">
        <f>SUM(F47:G47)</f>
        <v>0</v>
      </c>
    </row>
    <row r="48" spans="1:12" ht="15.75" hidden="1" customHeight="1">
      <c r="A48" s="345" t="s">
        <v>48</v>
      </c>
      <c r="B48" s="11"/>
      <c r="C48" s="5">
        <v>17</v>
      </c>
      <c r="D48" s="22"/>
      <c r="E48" s="22"/>
      <c r="F48" s="34">
        <f>SUM(D48:E48)</f>
        <v>0</v>
      </c>
      <c r="G48" s="18">
        <v>0</v>
      </c>
      <c r="H48" s="22">
        <v>0</v>
      </c>
      <c r="I48" s="317">
        <v>0</v>
      </c>
      <c r="J48" s="34">
        <f>SUM(F48:G48)</f>
        <v>0</v>
      </c>
    </row>
    <row r="49" spans="1:11" hidden="1">
      <c r="A49" s="18"/>
      <c r="B49" s="9"/>
      <c r="C49" s="5"/>
      <c r="D49" s="39">
        <f>SUM(D46:D48)</f>
        <v>0</v>
      </c>
      <c r="E49" s="39">
        <f>SUM(E46:E48)</f>
        <v>0</v>
      </c>
      <c r="F49" s="39">
        <f>SUM(F46:F48)</f>
        <v>0</v>
      </c>
      <c r="G49" s="324">
        <f>SUM(G46:G48)</f>
        <v>0</v>
      </c>
      <c r="H49" s="39">
        <f t="shared" ref="H49:I49" si="9">SUM(H46:H48)</f>
        <v>0</v>
      </c>
      <c r="I49" s="279">
        <f t="shared" si="9"/>
        <v>0</v>
      </c>
      <c r="J49" s="39">
        <f>SUM(J46:J48)</f>
        <v>0</v>
      </c>
    </row>
    <row r="50" spans="1:11" ht="8.25" customHeight="1">
      <c r="A50" s="325"/>
      <c r="B50" s="287"/>
      <c r="C50" s="375"/>
      <c r="D50" s="42"/>
      <c r="E50" s="42"/>
      <c r="F50" s="42"/>
      <c r="G50" s="325"/>
      <c r="H50" s="42"/>
      <c r="I50" s="281"/>
      <c r="J50" s="42"/>
    </row>
    <row r="51" spans="1:11" ht="16.5" thickBot="1">
      <c r="A51" s="31" t="s">
        <v>5</v>
      </c>
      <c r="B51" s="10"/>
      <c r="C51" s="418"/>
      <c r="D51" s="32">
        <f>D43+D49</f>
        <v>-805710</v>
      </c>
      <c r="E51" s="32">
        <f>E43+E49</f>
        <v>117950</v>
      </c>
      <c r="F51" s="32">
        <f>F43+F49</f>
        <v>-687760</v>
      </c>
      <c r="G51" s="31">
        <f>G43+G49</f>
        <v>590800</v>
      </c>
      <c r="H51" s="32">
        <f t="shared" ref="H51:I51" si="10">H43+H49</f>
        <v>-96960</v>
      </c>
      <c r="I51" s="385">
        <f t="shared" si="10"/>
        <v>34700</v>
      </c>
      <c r="J51" s="32">
        <f>J43+J49</f>
        <v>-62260</v>
      </c>
    </row>
    <row r="52" spans="1:11" ht="16.5" thickTop="1">
      <c r="A52" s="13"/>
      <c r="B52" s="13"/>
      <c r="C52" s="5"/>
      <c r="D52" s="13"/>
      <c r="E52" s="13"/>
      <c r="F52" s="13"/>
      <c r="G52" s="13"/>
      <c r="H52" s="13"/>
      <c r="I52" s="13"/>
      <c r="J52" s="13"/>
    </row>
    <row r="53" spans="1:11" ht="15.75">
      <c r="A53" s="13"/>
      <c r="B53" s="13"/>
      <c r="C53" s="5"/>
      <c r="D53" s="13"/>
      <c r="E53" s="13"/>
      <c r="F53" s="13"/>
      <c r="G53" s="13"/>
      <c r="H53" s="13"/>
      <c r="I53" s="13"/>
      <c r="J53" s="13"/>
    </row>
    <row r="54" spans="1:11" ht="15.75">
      <c r="A54" s="6"/>
      <c r="B54" s="6"/>
      <c r="D54" s="9"/>
      <c r="E54" s="9"/>
      <c r="F54" s="9"/>
      <c r="G54" s="9"/>
      <c r="H54" s="9"/>
      <c r="I54" s="9"/>
      <c r="J54" s="9"/>
    </row>
    <row r="55" spans="1:11" ht="31.5" customHeight="1">
      <c r="A55" s="295" t="s">
        <v>3</v>
      </c>
      <c r="B55" s="393" t="s">
        <v>460</v>
      </c>
      <c r="C55" s="386"/>
      <c r="D55" s="387"/>
      <c r="E55" s="387"/>
      <c r="F55" s="387"/>
      <c r="G55" s="387"/>
      <c r="H55" s="387"/>
      <c r="I55" s="387"/>
      <c r="J55" s="388"/>
    </row>
    <row r="56" spans="1:11" ht="9" customHeight="1">
      <c r="A56" s="429"/>
      <c r="B56" s="408"/>
      <c r="C56" s="397"/>
      <c r="D56" s="398"/>
      <c r="E56" s="398"/>
      <c r="F56" s="398"/>
      <c r="G56" s="398"/>
      <c r="H56" s="398"/>
      <c r="I56" s="398"/>
      <c r="J56" s="399"/>
    </row>
    <row r="57" spans="1:11">
      <c r="A57" s="362" t="s">
        <v>403</v>
      </c>
      <c r="B57" s="11" t="s">
        <v>531</v>
      </c>
      <c r="C57" s="430"/>
      <c r="D57" s="430"/>
      <c r="E57" s="430"/>
      <c r="F57" s="430"/>
      <c r="G57" s="430"/>
      <c r="H57" s="430"/>
      <c r="I57" s="430"/>
      <c r="J57" s="431"/>
      <c r="K57" s="2" t="s">
        <v>378</v>
      </c>
    </row>
    <row r="58" spans="1:11" ht="15" customHeight="1">
      <c r="A58" s="362" t="s">
        <v>404</v>
      </c>
      <c r="B58" s="515" t="s">
        <v>549</v>
      </c>
      <c r="C58" s="516"/>
      <c r="D58" s="516"/>
      <c r="E58" s="516"/>
      <c r="F58" s="516"/>
      <c r="G58" s="516"/>
      <c r="H58" s="516"/>
      <c r="I58" s="516"/>
      <c r="J58" s="517"/>
      <c r="K58" s="2" t="s">
        <v>378</v>
      </c>
    </row>
    <row r="59" spans="1:11" ht="15" customHeight="1">
      <c r="A59" s="362" t="s">
        <v>405</v>
      </c>
      <c r="B59" s="515" t="s">
        <v>484</v>
      </c>
      <c r="C59" s="516"/>
      <c r="D59" s="516"/>
      <c r="E59" s="516"/>
      <c r="F59" s="516"/>
      <c r="G59" s="516"/>
      <c r="H59" s="516"/>
      <c r="I59" s="516"/>
      <c r="J59" s="517"/>
      <c r="K59" s="2" t="s">
        <v>378</v>
      </c>
    </row>
    <row r="60" spans="1:11" ht="15" customHeight="1">
      <c r="A60" s="362" t="s">
        <v>406</v>
      </c>
      <c r="B60" s="266" t="s">
        <v>485</v>
      </c>
      <c r="C60" s="283"/>
      <c r="D60" s="283"/>
      <c r="E60" s="283"/>
      <c r="F60" s="283"/>
      <c r="G60" s="283"/>
      <c r="H60" s="283"/>
      <c r="I60" s="283"/>
      <c r="J60" s="410"/>
      <c r="K60" s="2" t="s">
        <v>378</v>
      </c>
    </row>
    <row r="61" spans="1:11" ht="15" customHeight="1">
      <c r="A61" s="362" t="s">
        <v>407</v>
      </c>
      <c r="B61" s="266" t="s">
        <v>486</v>
      </c>
      <c r="C61" s="283"/>
      <c r="D61" s="283"/>
      <c r="E61" s="283"/>
      <c r="F61" s="283"/>
      <c r="G61" s="283"/>
      <c r="H61" s="283"/>
      <c r="I61" s="283"/>
      <c r="J61" s="410"/>
      <c r="K61" s="2" t="s">
        <v>378</v>
      </c>
    </row>
    <row r="62" spans="1:11" ht="15" customHeight="1">
      <c r="A62" s="362" t="s">
        <v>408</v>
      </c>
      <c r="B62" s="266" t="s">
        <v>513</v>
      </c>
      <c r="C62" s="283"/>
      <c r="D62" s="283"/>
      <c r="E62" s="283"/>
      <c r="F62" s="283"/>
      <c r="G62" s="283"/>
      <c r="H62" s="283"/>
      <c r="I62" s="283"/>
      <c r="J62" s="410"/>
      <c r="K62" s="2" t="s">
        <v>378</v>
      </c>
    </row>
    <row r="63" spans="1:11" ht="15" customHeight="1">
      <c r="A63" s="362"/>
      <c r="B63" s="266" t="s">
        <v>514</v>
      </c>
      <c r="C63" s="283"/>
      <c r="D63" s="283"/>
      <c r="E63" s="283"/>
      <c r="F63" s="283"/>
      <c r="G63" s="283"/>
      <c r="H63" s="283"/>
      <c r="I63" s="283"/>
      <c r="J63" s="410"/>
    </row>
    <row r="64" spans="1:11" ht="15" customHeight="1">
      <c r="A64" s="362" t="s">
        <v>409</v>
      </c>
      <c r="B64" s="266" t="s">
        <v>487</v>
      </c>
      <c r="C64" s="283"/>
      <c r="D64" s="283"/>
      <c r="E64" s="283"/>
      <c r="F64" s="283"/>
      <c r="G64" s="283"/>
      <c r="H64" s="283"/>
      <c r="I64" s="283"/>
      <c r="J64" s="410"/>
      <c r="K64" s="2" t="s">
        <v>378</v>
      </c>
    </row>
    <row r="65" spans="1:11" ht="15" customHeight="1">
      <c r="A65" s="362" t="s">
        <v>410</v>
      </c>
      <c r="B65" s="266" t="s">
        <v>550</v>
      </c>
      <c r="C65" s="283"/>
      <c r="D65" s="283"/>
      <c r="E65" s="283"/>
      <c r="F65" s="283"/>
      <c r="G65" s="283"/>
      <c r="H65" s="283"/>
      <c r="I65" s="283"/>
      <c r="J65" s="410"/>
      <c r="K65" s="2" t="s">
        <v>378</v>
      </c>
    </row>
    <row r="66" spans="1:11" ht="14.25" customHeight="1">
      <c r="A66" s="362" t="s">
        <v>411</v>
      </c>
      <c r="B66" s="266" t="s">
        <v>488</v>
      </c>
      <c r="C66" s="283"/>
      <c r="D66" s="283"/>
      <c r="E66" s="283"/>
      <c r="F66" s="283"/>
      <c r="G66" s="283"/>
      <c r="H66" s="283"/>
      <c r="I66" s="283"/>
      <c r="J66" s="410"/>
      <c r="K66" s="2" t="s">
        <v>378</v>
      </c>
    </row>
    <row r="67" spans="1:11" ht="15" customHeight="1">
      <c r="A67" s="362" t="s">
        <v>412</v>
      </c>
      <c r="B67" s="271" t="s">
        <v>489</v>
      </c>
      <c r="C67" s="283"/>
      <c r="D67" s="283"/>
      <c r="E67" s="283"/>
      <c r="F67" s="283"/>
      <c r="G67" s="283"/>
      <c r="H67" s="283"/>
      <c r="I67" s="283"/>
      <c r="J67" s="410"/>
      <c r="K67" s="2" t="s">
        <v>378</v>
      </c>
    </row>
    <row r="68" spans="1:11">
      <c r="A68" s="362" t="s">
        <v>413</v>
      </c>
      <c r="B68" s="9" t="s">
        <v>490</v>
      </c>
      <c r="C68" s="5"/>
      <c r="D68" s="9"/>
      <c r="E68" s="9"/>
      <c r="F68" s="9"/>
      <c r="G68" s="9"/>
      <c r="H68" s="9"/>
      <c r="I68" s="9"/>
      <c r="J68" s="317"/>
      <c r="K68" s="2" t="s">
        <v>377</v>
      </c>
    </row>
    <row r="69" spans="1:11" ht="15" customHeight="1">
      <c r="A69" s="362" t="s">
        <v>414</v>
      </c>
      <c r="B69" s="9" t="s">
        <v>491</v>
      </c>
      <c r="C69" s="283"/>
      <c r="D69" s="283"/>
      <c r="E69" s="283"/>
      <c r="F69" s="283"/>
      <c r="G69" s="283"/>
      <c r="H69" s="283"/>
      <c r="I69" s="283"/>
      <c r="J69" s="410"/>
      <c r="K69" s="2" t="s">
        <v>377</v>
      </c>
    </row>
    <row r="70" spans="1:11">
      <c r="A70" s="362" t="s">
        <v>415</v>
      </c>
      <c r="B70" s="266" t="s">
        <v>545</v>
      </c>
      <c r="C70" s="5"/>
      <c r="D70" s="9"/>
      <c r="E70" s="9"/>
      <c r="F70" s="9"/>
      <c r="G70" s="9"/>
      <c r="H70" s="9"/>
      <c r="I70" s="9"/>
      <c r="J70" s="317"/>
      <c r="K70" s="2" t="s">
        <v>377</v>
      </c>
    </row>
    <row r="71" spans="1:11">
      <c r="A71" s="362" t="s">
        <v>416</v>
      </c>
      <c r="B71" s="11" t="s">
        <v>532</v>
      </c>
      <c r="C71" s="5"/>
      <c r="D71" s="9"/>
      <c r="E71" s="9"/>
      <c r="F71" s="9"/>
      <c r="G71" s="9"/>
      <c r="H71" s="9"/>
      <c r="I71" s="9"/>
      <c r="J71" s="317"/>
      <c r="K71" s="2" t="s">
        <v>379</v>
      </c>
    </row>
    <row r="72" spans="1:11">
      <c r="A72" s="362" t="s">
        <v>417</v>
      </c>
      <c r="B72" s="11" t="s">
        <v>492</v>
      </c>
      <c r="C72" s="5"/>
      <c r="D72" s="9"/>
      <c r="E72" s="9"/>
      <c r="F72" s="9"/>
      <c r="G72" s="9"/>
      <c r="H72" s="9"/>
      <c r="I72" s="9"/>
      <c r="J72" s="317"/>
      <c r="K72" s="2" t="s">
        <v>379</v>
      </c>
    </row>
    <row r="73" spans="1:11">
      <c r="A73" s="362" t="s">
        <v>418</v>
      </c>
      <c r="B73" s="271" t="s">
        <v>493</v>
      </c>
      <c r="C73" s="5"/>
      <c r="D73" s="9"/>
      <c r="E73" s="9"/>
      <c r="F73" s="9"/>
      <c r="G73" s="9"/>
      <c r="H73" s="9"/>
      <c r="I73" s="9"/>
      <c r="J73" s="317"/>
      <c r="K73" s="2" t="s">
        <v>379</v>
      </c>
    </row>
    <row r="74" spans="1:11">
      <c r="A74" s="405" t="s">
        <v>419</v>
      </c>
      <c r="B74" s="7" t="s">
        <v>494</v>
      </c>
      <c r="C74" s="342"/>
      <c r="D74" s="7"/>
      <c r="E74" s="7"/>
      <c r="F74" s="7"/>
      <c r="G74" s="7"/>
      <c r="H74" s="7"/>
      <c r="I74" s="7"/>
      <c r="J74" s="280"/>
      <c r="K74" s="2" t="s">
        <v>379</v>
      </c>
    </row>
    <row r="76" spans="1:11">
      <c r="A76" s="274" t="s">
        <v>434</v>
      </c>
      <c r="B76" s="275" t="s">
        <v>435</v>
      </c>
    </row>
    <row r="77" spans="1:11">
      <c r="A77" s="273"/>
      <c r="B77" s="275" t="s">
        <v>437</v>
      </c>
    </row>
    <row r="78" spans="1:11">
      <c r="A78" s="273"/>
      <c r="B78" s="336" t="s">
        <v>449</v>
      </c>
    </row>
    <row r="79" spans="1:11">
      <c r="A79" s="273"/>
      <c r="B79" s="336" t="s">
        <v>448</v>
      </c>
    </row>
    <row r="80" spans="1:11">
      <c r="A80" s="273"/>
      <c r="B80" s="275" t="s">
        <v>495</v>
      </c>
    </row>
    <row r="81" spans="1:2">
      <c r="A81" s="273"/>
      <c r="B81" s="275" t="s">
        <v>436</v>
      </c>
    </row>
    <row r="82" spans="1:2">
      <c r="B82" s="469">
        <f ca="1">NOW()</f>
        <v>40336.490005092593</v>
      </c>
    </row>
  </sheetData>
  <mergeCells count="3">
    <mergeCell ref="A23:B23"/>
    <mergeCell ref="B58:J58"/>
    <mergeCell ref="B59:J59"/>
  </mergeCells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>
    <oddFooter>&amp;C&amp;"Arial,Bold"&amp;12&amp;A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69"/>
  <sheetViews>
    <sheetView topLeftCell="A30" zoomScale="90" zoomScaleNormal="90" workbookViewId="0">
      <selection activeCell="B69" sqref="B69"/>
    </sheetView>
  </sheetViews>
  <sheetFormatPr defaultColWidth="9.140625" defaultRowHeight="15"/>
  <cols>
    <col min="1" max="1" width="6" style="2" customWidth="1"/>
    <col min="2" max="2" width="38.140625" style="2" customWidth="1"/>
    <col min="3" max="3" width="6" style="8" customWidth="1"/>
    <col min="4" max="4" width="14.85546875" style="2" bestFit="1" customWidth="1"/>
    <col min="5" max="5" width="11" style="2" bestFit="1" customWidth="1"/>
    <col min="6" max="6" width="13.140625" style="2" bestFit="1" customWidth="1"/>
    <col min="7" max="7" width="14.7109375" style="2" bestFit="1" customWidth="1"/>
    <col min="8" max="8" width="11.42578125" style="2" bestFit="1" customWidth="1"/>
    <col min="9" max="9" width="14.140625" style="2" bestFit="1" customWidth="1"/>
    <col min="10" max="10" width="14.28515625" style="2" customWidth="1"/>
    <col min="11" max="12" width="9.140625" style="2"/>
    <col min="13" max="13" width="10.28515625" style="2" customWidth="1"/>
    <col min="14" max="16384" width="9.140625" style="2"/>
  </cols>
  <sheetData>
    <row r="1" spans="1:10" ht="15.75">
      <c r="A1" s="6" t="s">
        <v>263</v>
      </c>
      <c r="B1" s="1"/>
      <c r="J1" s="3" t="s">
        <v>18</v>
      </c>
    </row>
    <row r="2" spans="1:10">
      <c r="G2" s="2" t="s">
        <v>6</v>
      </c>
      <c r="H2" s="2" t="s">
        <v>6</v>
      </c>
      <c r="I2" s="2" t="s">
        <v>6</v>
      </c>
    </row>
    <row r="3" spans="1:10" ht="15.75">
      <c r="B3" s="1"/>
    </row>
    <row r="4" spans="1:10" ht="15.75">
      <c r="A4" s="303" t="s">
        <v>1</v>
      </c>
      <c r="B4" s="420"/>
      <c r="C4" s="306"/>
      <c r="D4" s="328" t="s">
        <v>22</v>
      </c>
      <c r="E4" s="305" t="s">
        <v>22</v>
      </c>
      <c r="F4" s="306" t="s">
        <v>24</v>
      </c>
      <c r="G4" s="305" t="s">
        <v>34</v>
      </c>
      <c r="H4" s="305" t="s">
        <v>0</v>
      </c>
      <c r="I4" s="305" t="s">
        <v>34</v>
      </c>
      <c r="J4" s="305" t="s">
        <v>0</v>
      </c>
    </row>
    <row r="5" spans="1:10" ht="15.75">
      <c r="A5" s="329"/>
      <c r="B5" s="389"/>
      <c r="C5" s="309"/>
      <c r="D5" s="331" t="s">
        <v>8</v>
      </c>
      <c r="E5" s="310" t="s">
        <v>23</v>
      </c>
      <c r="F5" s="311"/>
      <c r="G5" s="310" t="s">
        <v>33</v>
      </c>
      <c r="H5" s="310"/>
      <c r="I5" s="310" t="s">
        <v>33</v>
      </c>
      <c r="J5" s="310"/>
    </row>
    <row r="6" spans="1:10" ht="15.75">
      <c r="A6" s="329"/>
      <c r="B6" s="389"/>
      <c r="C6" s="309"/>
      <c r="D6" s="331"/>
      <c r="E6" s="310"/>
      <c r="F6" s="311"/>
      <c r="G6" s="310" t="s">
        <v>507</v>
      </c>
      <c r="H6" s="310"/>
      <c r="I6" s="310" t="s">
        <v>508</v>
      </c>
      <c r="J6" s="310"/>
    </row>
    <row r="7" spans="1:10" ht="15.75">
      <c r="A7" s="332" t="s">
        <v>264</v>
      </c>
      <c r="B7" s="421"/>
      <c r="C7" s="372"/>
      <c r="D7" s="334" t="s">
        <v>7</v>
      </c>
      <c r="E7" s="314" t="s">
        <v>7</v>
      </c>
      <c r="F7" s="315" t="s">
        <v>7</v>
      </c>
      <c r="G7" s="314" t="s">
        <v>7</v>
      </c>
      <c r="H7" s="314" t="s">
        <v>7</v>
      </c>
      <c r="I7" s="314" t="s">
        <v>7</v>
      </c>
      <c r="J7" s="314" t="s">
        <v>7</v>
      </c>
    </row>
    <row r="8" spans="1:10" ht="15.75">
      <c r="A8" s="18"/>
      <c r="B8" s="9"/>
      <c r="C8" s="5"/>
      <c r="D8" s="419"/>
      <c r="E8" s="14"/>
      <c r="F8" s="20"/>
      <c r="G8" s="39"/>
      <c r="H8" s="44"/>
      <c r="I8" s="39"/>
      <c r="J8" s="23"/>
    </row>
    <row r="9" spans="1:10" ht="15.75">
      <c r="A9" s="18" t="s">
        <v>4</v>
      </c>
      <c r="B9" s="9"/>
      <c r="C9" s="5"/>
      <c r="D9" s="22">
        <v>4071500</v>
      </c>
      <c r="E9" s="9">
        <v>-542400</v>
      </c>
      <c r="F9" s="22">
        <v>-964200</v>
      </c>
      <c r="G9" s="22"/>
      <c r="H9" s="29">
        <f>SUM(D9:G9)</f>
        <v>2564900</v>
      </c>
      <c r="I9" s="22"/>
      <c r="J9" s="29">
        <f>SUM(H9:I9)</f>
        <v>2564900</v>
      </c>
    </row>
    <row r="10" spans="1:10" ht="15.75">
      <c r="A10" s="18" t="s">
        <v>52</v>
      </c>
      <c r="B10" s="9"/>
      <c r="C10" s="5"/>
      <c r="D10" s="22">
        <v>4016015</v>
      </c>
      <c r="E10" s="9">
        <v>-600169</v>
      </c>
      <c r="F10" s="22">
        <v>-964395</v>
      </c>
      <c r="G10" s="22"/>
      <c r="H10" s="29">
        <f>SUM(D10:G10)</f>
        <v>2451451</v>
      </c>
      <c r="I10" s="22"/>
      <c r="J10" s="29">
        <f>SUM(H10:I10)</f>
        <v>2451451</v>
      </c>
    </row>
    <row r="11" spans="1:10" ht="6" customHeight="1">
      <c r="A11" s="325"/>
      <c r="B11" s="287"/>
      <c r="C11" s="375"/>
      <c r="D11" s="325"/>
      <c r="E11" s="287"/>
      <c r="F11" s="42"/>
      <c r="G11" s="42"/>
      <c r="H11" s="293"/>
      <c r="I11" s="42"/>
      <c r="J11" s="293"/>
    </row>
    <row r="12" spans="1:10" ht="15.75">
      <c r="A12" s="297" t="s">
        <v>9</v>
      </c>
      <c r="B12" s="287"/>
      <c r="C12" s="375"/>
      <c r="D12" s="297">
        <f>+D10-D9</f>
        <v>-55485</v>
      </c>
      <c r="E12" s="297">
        <f>+E10-E9</f>
        <v>-57769</v>
      </c>
      <c r="F12" s="293">
        <f>+F10-F9</f>
        <v>-195</v>
      </c>
      <c r="G12" s="42">
        <f t="shared" ref="G12:J12" si="0">+G10-G9</f>
        <v>0</v>
      </c>
      <c r="H12" s="293">
        <f t="shared" si="0"/>
        <v>-113449</v>
      </c>
      <c r="I12" s="42">
        <f t="shared" si="0"/>
        <v>0</v>
      </c>
      <c r="J12" s="293">
        <f t="shared" si="0"/>
        <v>-113449</v>
      </c>
    </row>
    <row r="13" spans="1:10" ht="5.25" customHeight="1">
      <c r="A13" s="18"/>
      <c r="B13" s="9"/>
      <c r="C13" s="5"/>
      <c r="D13" s="27"/>
      <c r="E13" s="27"/>
      <c r="F13" s="29"/>
      <c r="G13" s="22"/>
      <c r="H13" s="29"/>
      <c r="I13" s="22"/>
      <c r="J13" s="29"/>
    </row>
    <row r="14" spans="1:10" ht="15.75">
      <c r="A14" s="325" t="s">
        <v>30</v>
      </c>
      <c r="B14" s="287"/>
      <c r="C14" s="375"/>
      <c r="D14" s="325"/>
      <c r="E14" s="325"/>
      <c r="F14" s="42"/>
      <c r="G14" s="42">
        <f>'Appendix B'!H74-I14</f>
        <v>56800</v>
      </c>
      <c r="H14" s="293">
        <f>SUM(D14:G14)</f>
        <v>56800</v>
      </c>
      <c r="I14" s="42"/>
      <c r="J14" s="293">
        <f>SUM(H14:I14)</f>
        <v>56800</v>
      </c>
    </row>
    <row r="15" spans="1:10" ht="7.5" customHeight="1">
      <c r="A15" s="18"/>
      <c r="B15" s="9"/>
      <c r="C15" s="5"/>
      <c r="D15" s="18"/>
      <c r="E15" s="18"/>
      <c r="F15" s="22"/>
      <c r="G15" s="29"/>
      <c r="H15" s="29"/>
      <c r="I15" s="29"/>
      <c r="J15" s="22"/>
    </row>
    <row r="16" spans="1:10" ht="16.5" thickBot="1">
      <c r="A16" s="31" t="s">
        <v>31</v>
      </c>
      <c r="B16" s="10"/>
      <c r="C16" s="412"/>
      <c r="D16" s="31">
        <f>+D12+D14</f>
        <v>-55485</v>
      </c>
      <c r="E16" s="31">
        <f>+E12+E14</f>
        <v>-57769</v>
      </c>
      <c r="F16" s="32">
        <f>+F12+F14</f>
        <v>-195</v>
      </c>
      <c r="G16" s="32">
        <f t="shared" ref="G16:H16" si="1">+G12+G14</f>
        <v>56800</v>
      </c>
      <c r="H16" s="32">
        <f t="shared" si="1"/>
        <v>-56649</v>
      </c>
      <c r="I16" s="32">
        <f>+I12+I14</f>
        <v>0</v>
      </c>
      <c r="J16" s="32">
        <f>SUM(J12:J14)</f>
        <v>-56649</v>
      </c>
    </row>
    <row r="17" spans="1:10" ht="16.5" thickTop="1">
      <c r="A17" s="6"/>
      <c r="B17" s="6"/>
      <c r="C17" s="4"/>
      <c r="D17" s="6"/>
      <c r="E17" s="6"/>
      <c r="F17" s="6"/>
      <c r="G17" s="6"/>
      <c r="H17" s="6"/>
      <c r="I17" s="6"/>
    </row>
    <row r="18" spans="1:10" ht="15.75">
      <c r="A18" s="6"/>
      <c r="B18" s="6"/>
      <c r="C18" s="4"/>
      <c r="D18" s="6"/>
      <c r="E18" s="6"/>
      <c r="F18" s="6"/>
      <c r="G18" s="6"/>
      <c r="H18" s="6"/>
      <c r="I18" s="6"/>
    </row>
    <row r="19" spans="1:10" ht="15.75">
      <c r="A19" s="1"/>
      <c r="B19" s="1"/>
      <c r="D19" s="4"/>
      <c r="E19" s="4"/>
      <c r="F19" s="4"/>
      <c r="G19" s="4"/>
      <c r="H19" s="4"/>
      <c r="I19" s="4"/>
    </row>
    <row r="20" spans="1:10" ht="15.75">
      <c r="A20" s="303" t="s">
        <v>35</v>
      </c>
      <c r="B20" s="390"/>
      <c r="C20" s="304"/>
      <c r="D20" s="305" t="s">
        <v>8</v>
      </c>
      <c r="E20" s="306" t="s">
        <v>23</v>
      </c>
      <c r="F20" s="305" t="s">
        <v>47</v>
      </c>
      <c r="G20" s="305" t="s">
        <v>34</v>
      </c>
      <c r="H20" s="305" t="s">
        <v>32</v>
      </c>
      <c r="I20" s="305" t="s">
        <v>34</v>
      </c>
      <c r="J20" s="305" t="s">
        <v>32</v>
      </c>
    </row>
    <row r="21" spans="1:10" ht="15.75">
      <c r="A21" s="308"/>
      <c r="B21" s="392"/>
      <c r="C21" s="309"/>
      <c r="D21" s="310" t="s">
        <v>9</v>
      </c>
      <c r="E21" s="311" t="s">
        <v>9</v>
      </c>
      <c r="F21" s="310" t="s">
        <v>9</v>
      </c>
      <c r="G21" s="310" t="s">
        <v>33</v>
      </c>
      <c r="H21" s="310" t="s">
        <v>9</v>
      </c>
      <c r="I21" s="310" t="s">
        <v>33</v>
      </c>
      <c r="J21" s="310" t="s">
        <v>9</v>
      </c>
    </row>
    <row r="22" spans="1:10" ht="15.75">
      <c r="A22" s="308"/>
      <c r="B22" s="392"/>
      <c r="C22" s="309"/>
      <c r="D22" s="310"/>
      <c r="E22" s="311"/>
      <c r="F22" s="310"/>
      <c r="G22" s="310" t="s">
        <v>507</v>
      </c>
      <c r="H22" s="310"/>
      <c r="I22" s="310" t="s">
        <v>508</v>
      </c>
      <c r="J22" s="310"/>
    </row>
    <row r="23" spans="1:10" ht="15" customHeight="1">
      <c r="A23" s="513" t="s">
        <v>12</v>
      </c>
      <c r="B23" s="514"/>
      <c r="C23" s="313" t="s">
        <v>3</v>
      </c>
      <c r="D23" s="314" t="s">
        <v>7</v>
      </c>
      <c r="E23" s="315" t="s">
        <v>7</v>
      </c>
      <c r="F23" s="314" t="s">
        <v>7</v>
      </c>
      <c r="G23" s="314" t="s">
        <v>7</v>
      </c>
      <c r="H23" s="314" t="s">
        <v>7</v>
      </c>
      <c r="I23" s="314" t="s">
        <v>7</v>
      </c>
      <c r="J23" s="314" t="s">
        <v>7</v>
      </c>
    </row>
    <row r="24" spans="1:10" ht="15" customHeight="1">
      <c r="A24" s="344"/>
      <c r="B24" s="413"/>
      <c r="C24" s="414"/>
      <c r="D24" s="33"/>
      <c r="E24" s="39"/>
      <c r="F24" s="33"/>
      <c r="G24" s="33"/>
      <c r="H24" s="33"/>
      <c r="I24" s="33"/>
      <c r="J24" s="33"/>
    </row>
    <row r="25" spans="1:10" ht="15" customHeight="1">
      <c r="A25" s="345" t="s">
        <v>28</v>
      </c>
      <c r="B25" s="11"/>
      <c r="C25" s="5">
        <v>1</v>
      </c>
      <c r="D25" s="22">
        <v>-37613</v>
      </c>
      <c r="E25" s="22">
        <v>-1</v>
      </c>
      <c r="F25" s="34">
        <f t="shared" ref="F25:F30" si="2">SUM(D25:E25)</f>
        <v>-37614</v>
      </c>
      <c r="G25" s="22">
        <v>37600</v>
      </c>
      <c r="H25" s="22">
        <f>SUM(F25:G25)</f>
        <v>-14</v>
      </c>
      <c r="I25" s="22"/>
      <c r="J25" s="34">
        <f>SUM(H25:I25)</f>
        <v>-14</v>
      </c>
    </row>
    <row r="26" spans="1:10" ht="15" customHeight="1">
      <c r="A26" s="345" t="s">
        <v>88</v>
      </c>
      <c r="B26" s="11"/>
      <c r="C26" s="5">
        <v>2</v>
      </c>
      <c r="D26" s="22">
        <v>-7165</v>
      </c>
      <c r="E26" s="22">
        <v>-3021</v>
      </c>
      <c r="F26" s="34">
        <f t="shared" si="2"/>
        <v>-10186</v>
      </c>
      <c r="G26" s="22">
        <v>0</v>
      </c>
      <c r="H26" s="22">
        <f t="shared" ref="H26:H30" si="3">SUM(F26:G26)</f>
        <v>-10186</v>
      </c>
      <c r="I26" s="22"/>
      <c r="J26" s="34">
        <f t="shared" ref="J26:J30" si="4">SUM(H26:I26)</f>
        <v>-10186</v>
      </c>
    </row>
    <row r="27" spans="1:10" ht="15" customHeight="1">
      <c r="A27" s="345" t="s">
        <v>265</v>
      </c>
      <c r="B27" s="11"/>
      <c r="C27" s="5">
        <v>3</v>
      </c>
      <c r="D27" s="22">
        <v>-15825</v>
      </c>
      <c r="E27" s="22">
        <v>-3888</v>
      </c>
      <c r="F27" s="34">
        <f t="shared" si="2"/>
        <v>-19713</v>
      </c>
      <c r="G27" s="22">
        <v>19200</v>
      </c>
      <c r="H27" s="22">
        <f t="shared" si="3"/>
        <v>-513</v>
      </c>
      <c r="I27" s="22"/>
      <c r="J27" s="34">
        <f t="shared" si="4"/>
        <v>-513</v>
      </c>
    </row>
    <row r="28" spans="1:10" ht="15" customHeight="1">
      <c r="A28" s="345" t="s">
        <v>87</v>
      </c>
      <c r="B28" s="11"/>
      <c r="C28" s="5">
        <v>4</v>
      </c>
      <c r="D28" s="22">
        <v>14978</v>
      </c>
      <c r="E28" s="22">
        <f>-7319-6</f>
        <v>-7325</v>
      </c>
      <c r="F28" s="34">
        <f t="shared" si="2"/>
        <v>7653</v>
      </c>
      <c r="G28" s="22">
        <v>0</v>
      </c>
      <c r="H28" s="22">
        <f t="shared" si="3"/>
        <v>7653</v>
      </c>
      <c r="I28" s="22"/>
      <c r="J28" s="34">
        <f t="shared" si="4"/>
        <v>7653</v>
      </c>
    </row>
    <row r="29" spans="1:10" ht="15" customHeight="1">
      <c r="A29" s="345" t="s">
        <v>49</v>
      </c>
      <c r="B29" s="11"/>
      <c r="C29" s="5">
        <v>5</v>
      </c>
      <c r="D29" s="22">
        <v>-24533</v>
      </c>
      <c r="E29" s="22">
        <v>-23727</v>
      </c>
      <c r="F29" s="34">
        <f t="shared" si="2"/>
        <v>-48260</v>
      </c>
      <c r="G29" s="22">
        <v>0</v>
      </c>
      <c r="H29" s="22">
        <f t="shared" si="3"/>
        <v>-48260</v>
      </c>
      <c r="I29" s="22"/>
      <c r="J29" s="34">
        <f t="shared" si="4"/>
        <v>-48260</v>
      </c>
    </row>
    <row r="30" spans="1:10" ht="15" customHeight="1">
      <c r="A30" s="345" t="s">
        <v>21</v>
      </c>
      <c r="B30" s="11"/>
      <c r="C30" s="5"/>
      <c r="D30" s="22">
        <f>D16-SUM(D25:D29)</f>
        <v>14673</v>
      </c>
      <c r="E30" s="22">
        <f>E16+F16-SUM(E25:E29)</f>
        <v>-20002</v>
      </c>
      <c r="F30" s="34">
        <f t="shared" si="2"/>
        <v>-5329</v>
      </c>
      <c r="G30" s="22">
        <f t="shared" ref="G30" si="5">G14-SUM(G25:G29)</f>
        <v>0</v>
      </c>
      <c r="H30" s="22">
        <f t="shared" si="3"/>
        <v>-5329</v>
      </c>
      <c r="I30" s="22"/>
      <c r="J30" s="34">
        <f t="shared" si="4"/>
        <v>-5329</v>
      </c>
    </row>
    <row r="31" spans="1:10" ht="6.75" customHeight="1">
      <c r="A31" s="402"/>
      <c r="B31" s="416"/>
      <c r="C31" s="375"/>
      <c r="D31" s="42"/>
      <c r="E31" s="42"/>
      <c r="F31" s="417"/>
      <c r="G31" s="42"/>
      <c r="H31" s="42"/>
      <c r="I31" s="42"/>
      <c r="J31" s="417"/>
    </row>
    <row r="32" spans="1:10" ht="16.5" thickBot="1">
      <c r="A32" s="31" t="s">
        <v>5</v>
      </c>
      <c r="B32" s="10"/>
      <c r="C32" s="418"/>
      <c r="D32" s="32">
        <f>SUM(D25:D30)</f>
        <v>-55485</v>
      </c>
      <c r="E32" s="32">
        <f>SUM(E25:E30)</f>
        <v>-57964</v>
      </c>
      <c r="F32" s="32">
        <f>SUM(F25:F30)</f>
        <v>-113449</v>
      </c>
      <c r="G32" s="32">
        <f t="shared" ref="G32:H32" si="6">SUM(G25:G30)</f>
        <v>56800</v>
      </c>
      <c r="H32" s="32">
        <f t="shared" si="6"/>
        <v>-56649</v>
      </c>
      <c r="I32" s="32">
        <f>SUM(I25:I30)</f>
        <v>0</v>
      </c>
      <c r="J32" s="32">
        <f>SUM(J25:J30)</f>
        <v>-56649</v>
      </c>
    </row>
    <row r="33" spans="1:10" ht="16.5" thickTop="1">
      <c r="A33" s="6"/>
      <c r="B33" s="6"/>
      <c r="D33" s="13"/>
      <c r="E33" s="13"/>
      <c r="F33" s="13"/>
      <c r="G33" s="13"/>
      <c r="H33" s="13"/>
      <c r="I33" s="13"/>
    </row>
    <row r="34" spans="1:10" ht="15.75">
      <c r="A34" s="6"/>
      <c r="B34" s="6"/>
      <c r="C34" s="45"/>
      <c r="D34" s="13"/>
      <c r="E34" s="13"/>
      <c r="F34" s="13"/>
      <c r="G34" s="13"/>
      <c r="H34" s="13"/>
      <c r="I34" s="13"/>
    </row>
    <row r="35" spans="1:10" ht="15.75">
      <c r="A35" s="6"/>
      <c r="B35" s="6"/>
      <c r="C35" s="45"/>
      <c r="D35" s="13"/>
      <c r="E35" s="13"/>
      <c r="F35" s="13"/>
      <c r="G35" s="13"/>
      <c r="H35" s="13"/>
      <c r="I35" s="13"/>
    </row>
    <row r="36" spans="1:10" ht="31.5" customHeight="1">
      <c r="A36" s="295" t="s">
        <v>3</v>
      </c>
      <c r="B36" s="393" t="s">
        <v>460</v>
      </c>
      <c r="C36" s="386"/>
      <c r="D36" s="387"/>
      <c r="E36" s="387"/>
      <c r="F36" s="387"/>
      <c r="G36" s="387"/>
      <c r="H36" s="387"/>
      <c r="I36" s="387"/>
      <c r="J36" s="388"/>
    </row>
    <row r="37" spans="1:10">
      <c r="A37" s="22"/>
      <c r="B37" s="9"/>
      <c r="C37" s="5"/>
      <c r="D37" s="9"/>
      <c r="E37" s="9"/>
      <c r="F37" s="9"/>
      <c r="G37" s="9"/>
      <c r="H37" s="9"/>
      <c r="I37" s="9"/>
      <c r="J37" s="317"/>
    </row>
    <row r="38" spans="1:10">
      <c r="A38" s="424" t="s">
        <v>403</v>
      </c>
      <c r="B38" s="11" t="s">
        <v>515</v>
      </c>
      <c r="C38" s="5"/>
      <c r="D38" s="9"/>
      <c r="E38" s="9"/>
      <c r="F38" s="9"/>
      <c r="G38" s="9"/>
      <c r="H38" s="9"/>
      <c r="I38" s="9"/>
      <c r="J38" s="317"/>
    </row>
    <row r="39" spans="1:10">
      <c r="A39" s="22"/>
      <c r="B39" s="11" t="s">
        <v>516</v>
      </c>
      <c r="C39" s="5"/>
      <c r="D39" s="9"/>
      <c r="E39" s="9"/>
      <c r="F39" s="9"/>
      <c r="G39" s="9"/>
      <c r="H39" s="9"/>
      <c r="I39" s="9"/>
      <c r="J39" s="317"/>
    </row>
    <row r="40" spans="1:10" ht="15.75" customHeight="1">
      <c r="A40" s="424" t="s">
        <v>404</v>
      </c>
      <c r="B40" s="271" t="s">
        <v>528</v>
      </c>
      <c r="C40" s="509"/>
      <c r="D40" s="510"/>
      <c r="E40" s="510"/>
      <c r="F40" s="510"/>
      <c r="G40" s="510"/>
      <c r="H40" s="510"/>
      <c r="I40" s="510"/>
      <c r="J40" s="410"/>
    </row>
    <row r="41" spans="1:10" ht="17.25" customHeight="1">
      <c r="A41" s="424" t="s">
        <v>405</v>
      </c>
      <c r="B41" s="518" t="s">
        <v>517</v>
      </c>
      <c r="C41" s="519"/>
      <c r="D41" s="519"/>
      <c r="E41" s="519"/>
      <c r="F41" s="519"/>
      <c r="G41" s="519"/>
      <c r="H41" s="519"/>
      <c r="I41" s="519"/>
      <c r="J41" s="520"/>
    </row>
    <row r="42" spans="1:10" ht="17.25" customHeight="1">
      <c r="A42" s="22"/>
      <c r="B42" s="518" t="s">
        <v>518</v>
      </c>
      <c r="C42" s="519"/>
      <c r="D42" s="519"/>
      <c r="E42" s="519"/>
      <c r="F42" s="519"/>
      <c r="G42" s="519"/>
      <c r="H42" s="519"/>
      <c r="I42" s="519"/>
      <c r="J42" s="520"/>
    </row>
    <row r="43" spans="1:10">
      <c r="A43" s="424" t="s">
        <v>406</v>
      </c>
      <c r="B43" s="11" t="s">
        <v>519</v>
      </c>
      <c r="C43" s="5"/>
      <c r="D43" s="9"/>
      <c r="E43" s="9"/>
      <c r="F43" s="9"/>
      <c r="G43" s="9"/>
      <c r="H43" s="9"/>
      <c r="I43" s="9"/>
      <c r="J43" s="317"/>
    </row>
    <row r="44" spans="1:10">
      <c r="A44" s="22"/>
      <c r="B44" s="11" t="s">
        <v>520</v>
      </c>
      <c r="C44" s="5"/>
      <c r="D44" s="9"/>
      <c r="E44" s="9"/>
      <c r="F44" s="9"/>
      <c r="G44" s="9"/>
      <c r="H44" s="9"/>
      <c r="I44" s="9"/>
      <c r="J44" s="317"/>
    </row>
    <row r="45" spans="1:10">
      <c r="A45" s="424" t="s">
        <v>407</v>
      </c>
      <c r="B45" s="9" t="s">
        <v>521</v>
      </c>
      <c r="C45" s="5"/>
      <c r="D45" s="9"/>
      <c r="E45" s="9"/>
      <c r="F45" s="9"/>
      <c r="G45" s="9"/>
      <c r="H45" s="9"/>
      <c r="I45" s="9"/>
      <c r="J45" s="317"/>
    </row>
    <row r="46" spans="1:10">
      <c r="A46" s="28"/>
      <c r="B46" s="7" t="s">
        <v>522</v>
      </c>
      <c r="C46" s="342"/>
      <c r="D46" s="7"/>
      <c r="E46" s="7"/>
      <c r="F46" s="7"/>
      <c r="G46" s="7"/>
      <c r="H46" s="7"/>
      <c r="I46" s="7"/>
      <c r="J46" s="280"/>
    </row>
    <row r="47" spans="1:10">
      <c r="C47" s="45"/>
    </row>
    <row r="48" spans="1:10">
      <c r="C48" s="45"/>
    </row>
    <row r="49" spans="1:3" ht="15.75">
      <c r="A49" s="1"/>
      <c r="B49" s="1"/>
      <c r="C49" s="45"/>
    </row>
    <row r="50" spans="1:3">
      <c r="C50" s="45"/>
    </row>
    <row r="51" spans="1:3">
      <c r="B51" s="469"/>
    </row>
    <row r="69" spans="2:3">
      <c r="B69" s="469"/>
      <c r="C69" s="45"/>
    </row>
  </sheetData>
  <mergeCells count="3">
    <mergeCell ref="A23:B23"/>
    <mergeCell ref="B41:J41"/>
    <mergeCell ref="B42:J42"/>
  </mergeCells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Footer>&amp;C&amp;"Arial,Bold"&amp;12&amp;A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49"/>
  <sheetViews>
    <sheetView tabSelected="1" topLeftCell="A20" zoomScale="90" zoomScaleNormal="90" workbookViewId="0">
      <selection activeCell="B37" sqref="B37"/>
    </sheetView>
  </sheetViews>
  <sheetFormatPr defaultColWidth="9.140625" defaultRowHeight="15"/>
  <cols>
    <col min="1" max="1" width="6" style="2" customWidth="1"/>
    <col min="2" max="2" width="38.28515625" style="2" customWidth="1"/>
    <col min="3" max="3" width="6" style="8" customWidth="1"/>
    <col min="4" max="4" width="14.7109375" style="2" customWidth="1"/>
    <col min="5" max="5" width="15" style="2" customWidth="1"/>
    <col min="6" max="6" width="13.85546875" style="2" customWidth="1"/>
    <col min="7" max="7" width="14.85546875" style="2" bestFit="1" customWidth="1"/>
    <col min="8" max="8" width="13.28515625" style="2" customWidth="1"/>
    <col min="9" max="9" width="14.28515625" style="2" bestFit="1" customWidth="1"/>
    <col min="10" max="10" width="12.7109375" style="2" bestFit="1" customWidth="1"/>
    <col min="11" max="11" width="11" style="2" bestFit="1" customWidth="1"/>
    <col min="12" max="12" width="9.140625" style="2"/>
    <col min="13" max="13" width="10.28515625" style="2" customWidth="1"/>
    <col min="14" max="16384" width="9.140625" style="2"/>
  </cols>
  <sheetData>
    <row r="1" spans="1:10" ht="15.75">
      <c r="A1" s="6" t="s">
        <v>263</v>
      </c>
      <c r="B1" s="6"/>
      <c r="J1" s="3" t="s">
        <v>19</v>
      </c>
    </row>
    <row r="2" spans="1:10">
      <c r="G2" s="2" t="s">
        <v>6</v>
      </c>
      <c r="H2" s="2" t="s">
        <v>6</v>
      </c>
      <c r="I2" s="2" t="s">
        <v>6</v>
      </c>
    </row>
    <row r="4" spans="1:10" ht="15.75">
      <c r="A4" s="303" t="s">
        <v>13</v>
      </c>
      <c r="B4" s="390"/>
      <c r="C4" s="307"/>
      <c r="D4" s="328" t="s">
        <v>22</v>
      </c>
      <c r="E4" s="305" t="s">
        <v>22</v>
      </c>
      <c r="F4" s="306" t="s">
        <v>24</v>
      </c>
      <c r="G4" s="305" t="s">
        <v>34</v>
      </c>
      <c r="H4" s="305" t="s">
        <v>0</v>
      </c>
      <c r="I4" s="305" t="s">
        <v>34</v>
      </c>
      <c r="J4" s="305" t="s">
        <v>0</v>
      </c>
    </row>
    <row r="5" spans="1:10" ht="15.75">
      <c r="A5" s="329"/>
      <c r="B5" s="389"/>
      <c r="C5" s="330"/>
      <c r="D5" s="331" t="s">
        <v>8</v>
      </c>
      <c r="E5" s="310" t="s">
        <v>23</v>
      </c>
      <c r="F5" s="311"/>
      <c r="G5" s="310" t="s">
        <v>33</v>
      </c>
      <c r="H5" s="310"/>
      <c r="I5" s="310" t="s">
        <v>33</v>
      </c>
      <c r="J5" s="310"/>
    </row>
    <row r="6" spans="1:10" ht="15.75">
      <c r="A6" s="329"/>
      <c r="B6" s="389"/>
      <c r="C6" s="330"/>
      <c r="D6" s="331"/>
      <c r="E6" s="310"/>
      <c r="F6" s="311"/>
      <c r="G6" s="310" t="s">
        <v>507</v>
      </c>
      <c r="H6" s="310"/>
      <c r="I6" s="310" t="s">
        <v>508</v>
      </c>
      <c r="J6" s="310"/>
    </row>
    <row r="7" spans="1:10" ht="15.75">
      <c r="A7" s="332" t="s">
        <v>264</v>
      </c>
      <c r="B7" s="391"/>
      <c r="C7" s="333"/>
      <c r="D7" s="334" t="s">
        <v>7</v>
      </c>
      <c r="E7" s="314" t="s">
        <v>7</v>
      </c>
      <c r="F7" s="315" t="s">
        <v>7</v>
      </c>
      <c r="G7" s="310" t="s">
        <v>7</v>
      </c>
      <c r="H7" s="310" t="s">
        <v>7</v>
      </c>
      <c r="I7" s="310" t="s">
        <v>7</v>
      </c>
      <c r="J7" s="314" t="s">
        <v>7</v>
      </c>
    </row>
    <row r="8" spans="1:10" ht="15.75">
      <c r="A8" s="18"/>
      <c r="B8" s="9"/>
      <c r="C8" s="5"/>
      <c r="D8" s="35"/>
      <c r="E8" s="20"/>
      <c r="F8" s="12"/>
      <c r="G8" s="39"/>
      <c r="H8" s="39"/>
      <c r="I8" s="39"/>
      <c r="J8" s="20"/>
    </row>
    <row r="9" spans="1:10" ht="15.75">
      <c r="A9" s="18" t="s">
        <v>4</v>
      </c>
      <c r="B9" s="9"/>
      <c r="C9" s="5"/>
      <c r="D9" s="22">
        <v>3151100</v>
      </c>
      <c r="E9" s="22">
        <v>-168100</v>
      </c>
      <c r="F9" s="9">
        <v>-2332500</v>
      </c>
      <c r="G9" s="22"/>
      <c r="H9" s="29">
        <f>SUM(D9:G9)</f>
        <v>650500</v>
      </c>
      <c r="I9" s="22"/>
      <c r="J9" s="29">
        <f>SUM(H9:I9)</f>
        <v>650500</v>
      </c>
    </row>
    <row r="10" spans="1:10" ht="15.75">
      <c r="A10" s="18" t="s">
        <v>52</v>
      </c>
      <c r="B10" s="9"/>
      <c r="C10" s="5"/>
      <c r="D10" s="22">
        <v>2976628</v>
      </c>
      <c r="E10" s="22">
        <v>-174868</v>
      </c>
      <c r="F10" s="9">
        <f>-2260883-1</f>
        <v>-2260884</v>
      </c>
      <c r="G10" s="22"/>
      <c r="H10" s="29">
        <f>SUM(D10:G10)</f>
        <v>540876</v>
      </c>
      <c r="I10" s="22"/>
      <c r="J10" s="29">
        <f>SUM(H10:I10)</f>
        <v>540876</v>
      </c>
    </row>
    <row r="11" spans="1:10" ht="15.75">
      <c r="A11" s="297" t="s">
        <v>9</v>
      </c>
      <c r="B11" s="374"/>
      <c r="C11" s="375"/>
      <c r="D11" s="297">
        <f>+D10-D9</f>
        <v>-174472</v>
      </c>
      <c r="E11" s="293">
        <f>+E10-E9</f>
        <v>-6768</v>
      </c>
      <c r="F11" s="374">
        <f>+F10-F9</f>
        <v>71616</v>
      </c>
      <c r="G11" s="42">
        <f t="shared" ref="G11:J11" si="0">+G10-G9</f>
        <v>0</v>
      </c>
      <c r="H11" s="293">
        <f t="shared" si="0"/>
        <v>-109624</v>
      </c>
      <c r="I11" s="42">
        <f t="shared" si="0"/>
        <v>0</v>
      </c>
      <c r="J11" s="293">
        <f t="shared" si="0"/>
        <v>-109624</v>
      </c>
    </row>
    <row r="12" spans="1:10" ht="6" customHeight="1">
      <c r="A12" s="324"/>
      <c r="B12" s="364"/>
      <c r="C12" s="341"/>
      <c r="D12" s="371"/>
      <c r="E12" s="44"/>
      <c r="F12" s="373"/>
      <c r="G12" s="39"/>
      <c r="H12" s="44"/>
      <c r="I12" s="39"/>
      <c r="J12" s="44"/>
    </row>
    <row r="13" spans="1:10" ht="15.75">
      <c r="A13" s="325" t="s">
        <v>30</v>
      </c>
      <c r="B13" s="287"/>
      <c r="C13" s="375"/>
      <c r="D13" s="325"/>
      <c r="E13" s="42"/>
      <c r="F13" s="287"/>
      <c r="G13" s="42">
        <f>'Appendix B'!H78-I13</f>
        <v>25300</v>
      </c>
      <c r="H13" s="293">
        <f>SUM(D13:G13)</f>
        <v>25300</v>
      </c>
      <c r="I13" s="42">
        <v>6000</v>
      </c>
      <c r="J13" s="293">
        <f>SUM(H13:I13)</f>
        <v>31300</v>
      </c>
    </row>
    <row r="14" spans="1:10" ht="6" customHeight="1">
      <c r="A14" s="18"/>
      <c r="B14" s="9"/>
      <c r="C14" s="5"/>
      <c r="D14" s="18"/>
      <c r="E14" s="22"/>
      <c r="F14" s="9"/>
      <c r="G14" s="29"/>
      <c r="H14" s="29"/>
      <c r="I14" s="29"/>
      <c r="J14" s="22"/>
    </row>
    <row r="15" spans="1:10" ht="16.5" thickBot="1">
      <c r="A15" s="31" t="s">
        <v>31</v>
      </c>
      <c r="B15" s="10"/>
      <c r="C15" s="412"/>
      <c r="D15" s="31">
        <f>+D11+D13</f>
        <v>-174472</v>
      </c>
      <c r="E15" s="32">
        <f>+E11+E13</f>
        <v>-6768</v>
      </c>
      <c r="F15" s="32">
        <f>+F11+F13</f>
        <v>71616</v>
      </c>
      <c r="G15" s="10">
        <f t="shared" ref="G15:H15" si="1">+G11+G13</f>
        <v>25300</v>
      </c>
      <c r="H15" s="10">
        <f t="shared" si="1"/>
        <v>-84324</v>
      </c>
      <c r="I15" s="10">
        <f>+I11+I13</f>
        <v>6000</v>
      </c>
      <c r="J15" s="32">
        <f>SUM(J11:J13)</f>
        <v>-78324</v>
      </c>
    </row>
    <row r="16" spans="1:10" ht="16.5" thickTop="1">
      <c r="A16" s="6"/>
      <c r="B16" s="6"/>
      <c r="C16" s="4"/>
      <c r="D16" s="6"/>
      <c r="E16" s="6"/>
      <c r="F16" s="6"/>
      <c r="G16" s="6"/>
      <c r="H16" s="6"/>
      <c r="I16" s="6"/>
    </row>
    <row r="17" spans="1:11" ht="15.75">
      <c r="A17" s="6"/>
      <c r="B17" s="6"/>
      <c r="C17" s="4"/>
      <c r="D17" s="6"/>
      <c r="E17" s="6"/>
      <c r="F17" s="6"/>
      <c r="G17" s="6"/>
      <c r="H17" s="6"/>
      <c r="I17" s="6"/>
    </row>
    <row r="18" spans="1:11" ht="15.75">
      <c r="B18" s="1"/>
      <c r="D18" s="4"/>
      <c r="E18" s="4"/>
      <c r="F18" s="4"/>
      <c r="G18" s="4"/>
      <c r="H18" s="4"/>
      <c r="I18" s="4"/>
    </row>
    <row r="19" spans="1:11" ht="15.75">
      <c r="A19" s="303" t="s">
        <v>35</v>
      </c>
      <c r="B19" s="390"/>
      <c r="C19" s="304"/>
      <c r="D19" s="305" t="s">
        <v>8</v>
      </c>
      <c r="E19" s="306" t="s">
        <v>23</v>
      </c>
      <c r="F19" s="305" t="s">
        <v>47</v>
      </c>
      <c r="G19" s="305" t="s">
        <v>34</v>
      </c>
      <c r="H19" s="305" t="s">
        <v>32</v>
      </c>
      <c r="I19" s="305" t="s">
        <v>34</v>
      </c>
      <c r="J19" s="305" t="s">
        <v>32</v>
      </c>
    </row>
    <row r="20" spans="1:11" ht="15.75">
      <c r="A20" s="308"/>
      <c r="B20" s="392"/>
      <c r="C20" s="309"/>
      <c r="D20" s="310" t="s">
        <v>9</v>
      </c>
      <c r="E20" s="311" t="s">
        <v>9</v>
      </c>
      <c r="F20" s="310" t="s">
        <v>9</v>
      </c>
      <c r="G20" s="310" t="s">
        <v>33</v>
      </c>
      <c r="H20" s="310" t="s">
        <v>9</v>
      </c>
      <c r="I20" s="310" t="s">
        <v>33</v>
      </c>
      <c r="J20" s="310" t="s">
        <v>9</v>
      </c>
    </row>
    <row r="21" spans="1:11" ht="15.75">
      <c r="A21" s="308"/>
      <c r="B21" s="392"/>
      <c r="C21" s="309"/>
      <c r="D21" s="310"/>
      <c r="E21" s="311"/>
      <c r="F21" s="310"/>
      <c r="G21" s="310" t="s">
        <v>507</v>
      </c>
      <c r="H21" s="310"/>
      <c r="I21" s="310" t="s">
        <v>508</v>
      </c>
      <c r="J21" s="310"/>
    </row>
    <row r="22" spans="1:11" ht="15" customHeight="1">
      <c r="A22" s="511" t="s">
        <v>12</v>
      </c>
      <c r="B22" s="512"/>
      <c r="C22" s="348" t="s">
        <v>3</v>
      </c>
      <c r="D22" s="310" t="s">
        <v>7</v>
      </c>
      <c r="E22" s="311" t="s">
        <v>7</v>
      </c>
      <c r="F22" s="314" t="s">
        <v>7</v>
      </c>
      <c r="G22" s="310" t="s">
        <v>7</v>
      </c>
      <c r="H22" s="310" t="s">
        <v>7</v>
      </c>
      <c r="I22" s="310" t="s">
        <v>7</v>
      </c>
      <c r="J22" s="310" t="s">
        <v>7</v>
      </c>
    </row>
    <row r="23" spans="1:11" ht="15" customHeight="1">
      <c r="A23" s="344"/>
      <c r="B23" s="413"/>
      <c r="C23" s="414"/>
      <c r="D23" s="33"/>
      <c r="E23" s="364"/>
      <c r="F23" s="33"/>
      <c r="G23" s="33"/>
      <c r="H23" s="33"/>
      <c r="I23" s="33"/>
      <c r="J23" s="37"/>
    </row>
    <row r="24" spans="1:11" ht="15" customHeight="1">
      <c r="A24" s="345" t="s">
        <v>267</v>
      </c>
      <c r="B24" s="11"/>
      <c r="C24" s="5">
        <v>1</v>
      </c>
      <c r="D24" s="22">
        <v>-11768</v>
      </c>
      <c r="E24" s="9">
        <v>-1</v>
      </c>
      <c r="F24" s="34">
        <f>SUM(D24:E24)</f>
        <v>-11769</v>
      </c>
      <c r="G24" s="22"/>
      <c r="H24" s="22">
        <f>SUM(F24:G24)</f>
        <v>-11769</v>
      </c>
      <c r="I24" s="22"/>
      <c r="J24" s="19">
        <f>SUM(H24:I24)</f>
        <v>-11769</v>
      </c>
      <c r="K24" s="2" t="s">
        <v>388</v>
      </c>
    </row>
    <row r="25" spans="1:11" ht="15" customHeight="1">
      <c r="A25" s="345" t="s">
        <v>29</v>
      </c>
      <c r="B25" s="11"/>
      <c r="C25" s="5">
        <v>2</v>
      </c>
      <c r="D25" s="22">
        <v>-34721</v>
      </c>
      <c r="E25" s="9">
        <f>-434+41</f>
        <v>-393</v>
      </c>
      <c r="F25" s="34">
        <f>SUM(D25:E25)</f>
        <v>-35114</v>
      </c>
      <c r="G25" s="22"/>
      <c r="H25" s="22">
        <f t="shared" ref="H25:H28" si="2">SUM(F25:G25)</f>
        <v>-35114</v>
      </c>
      <c r="I25" s="22"/>
      <c r="J25" s="19">
        <f t="shared" ref="J25:J28" si="3">SUM(H25:I25)</f>
        <v>-35114</v>
      </c>
      <c r="K25" s="2" t="s">
        <v>387</v>
      </c>
    </row>
    <row r="26" spans="1:11" ht="15" customHeight="1">
      <c r="A26" s="345" t="s">
        <v>86</v>
      </c>
      <c r="B26" s="11"/>
      <c r="C26" s="5">
        <v>3</v>
      </c>
      <c r="D26" s="22">
        <v>-23542</v>
      </c>
      <c r="E26" s="9">
        <v>41</v>
      </c>
      <c r="F26" s="34">
        <f>SUM(D26:E26)</f>
        <v>-23501</v>
      </c>
      <c r="G26" s="22">
        <v>25300</v>
      </c>
      <c r="H26" s="22">
        <f t="shared" si="2"/>
        <v>1799</v>
      </c>
      <c r="I26" s="22"/>
      <c r="J26" s="19">
        <f t="shared" si="3"/>
        <v>1799</v>
      </c>
      <c r="K26" s="2" t="s">
        <v>379</v>
      </c>
    </row>
    <row r="27" spans="1:11" ht="15" customHeight="1">
      <c r="A27" s="345" t="s">
        <v>389</v>
      </c>
      <c r="B27" s="11"/>
      <c r="C27" s="5">
        <v>4</v>
      </c>
      <c r="D27" s="22">
        <f>-62100-6531</f>
        <v>-68631</v>
      </c>
      <c r="E27" s="9">
        <f>62100-1050+2529</f>
        <v>63579</v>
      </c>
      <c r="F27" s="34">
        <f>SUM(D27:E27)</f>
        <v>-5052</v>
      </c>
      <c r="G27" s="22"/>
      <c r="H27" s="22">
        <f t="shared" si="2"/>
        <v>-5052</v>
      </c>
      <c r="I27" s="22">
        <v>6000</v>
      </c>
      <c r="J27" s="19">
        <f t="shared" si="3"/>
        <v>948</v>
      </c>
      <c r="K27" s="2" t="s">
        <v>387</v>
      </c>
    </row>
    <row r="28" spans="1:11" ht="15" customHeight="1">
      <c r="A28" s="346" t="s">
        <v>21</v>
      </c>
      <c r="B28" s="415"/>
      <c r="C28" s="342">
        <v>5</v>
      </c>
      <c r="D28" s="28">
        <f>D15-SUM(D24:D27)</f>
        <v>-35810</v>
      </c>
      <c r="E28" s="7">
        <f>E15+F15-SUM(E24:E27)</f>
        <v>1622</v>
      </c>
      <c r="F28" s="289">
        <f>SUM(D28:E28)</f>
        <v>-34188</v>
      </c>
      <c r="G28" s="28"/>
      <c r="H28" s="28">
        <f t="shared" si="2"/>
        <v>-34188</v>
      </c>
      <c r="I28" s="28"/>
      <c r="J28" s="361">
        <f t="shared" si="3"/>
        <v>-34188</v>
      </c>
      <c r="K28" s="2" t="s">
        <v>6</v>
      </c>
    </row>
    <row r="29" spans="1:11" ht="8.25" customHeight="1">
      <c r="A29" s="402"/>
      <c r="B29" s="416"/>
      <c r="C29" s="326"/>
      <c r="D29" s="42"/>
      <c r="E29" s="42"/>
      <c r="F29" s="417"/>
      <c r="G29" s="42"/>
      <c r="H29" s="42"/>
      <c r="I29" s="42"/>
      <c r="J29" s="417"/>
    </row>
    <row r="30" spans="1:11" ht="16.5" thickBot="1">
      <c r="A30" s="31" t="s">
        <v>5</v>
      </c>
      <c r="B30" s="10"/>
      <c r="C30" s="418"/>
      <c r="D30" s="32">
        <f>SUM(D24:D28)</f>
        <v>-174472</v>
      </c>
      <c r="E30" s="32">
        <f>SUM(E24:E28)</f>
        <v>64848</v>
      </c>
      <c r="F30" s="32">
        <f>SUM(F24:F28)</f>
        <v>-109624</v>
      </c>
      <c r="G30" s="32">
        <f t="shared" ref="G30:H30" si="4">SUM(G24:G28)</f>
        <v>25300</v>
      </c>
      <c r="H30" s="32">
        <f t="shared" si="4"/>
        <v>-84324</v>
      </c>
      <c r="I30" s="32">
        <f>SUM(I24:I28)</f>
        <v>6000</v>
      </c>
      <c r="J30" s="32">
        <f>SUM(J24:J28)</f>
        <v>-78324</v>
      </c>
    </row>
    <row r="31" spans="1:11" ht="16.5" thickTop="1">
      <c r="A31" s="6"/>
      <c r="B31" s="6"/>
      <c r="D31" s="13"/>
      <c r="E31" s="13"/>
      <c r="F31" s="13"/>
      <c r="G31" s="13"/>
      <c r="H31" s="13"/>
      <c r="I31" s="13"/>
    </row>
    <row r="32" spans="1:11" ht="15.75">
      <c r="A32" s="6"/>
      <c r="B32" s="6"/>
      <c r="C32" s="45"/>
      <c r="D32" s="13"/>
      <c r="E32" s="13"/>
      <c r="F32" s="13"/>
      <c r="G32" s="13"/>
      <c r="H32" s="13"/>
      <c r="I32" s="13"/>
    </row>
    <row r="33" spans="1:11" ht="15.75">
      <c r="A33" s="6"/>
      <c r="B33" s="6"/>
      <c r="C33" s="45"/>
      <c r="D33" s="13"/>
      <c r="E33" s="13"/>
      <c r="F33" s="13"/>
      <c r="G33" s="13"/>
      <c r="H33" s="13"/>
      <c r="I33" s="13"/>
    </row>
    <row r="34" spans="1:11" ht="31.5" customHeight="1">
      <c r="A34" s="295" t="s">
        <v>3</v>
      </c>
      <c r="B34" s="393" t="s">
        <v>460</v>
      </c>
      <c r="C34" s="386"/>
      <c r="D34" s="387"/>
      <c r="E34" s="387"/>
      <c r="F34" s="387"/>
      <c r="G34" s="387"/>
      <c r="H34" s="387"/>
      <c r="I34" s="387"/>
      <c r="J34" s="388"/>
    </row>
    <row r="35" spans="1:11" ht="14.25" customHeight="1">
      <c r="A35" s="400"/>
      <c r="B35" s="408"/>
      <c r="C35" s="397"/>
      <c r="D35" s="398"/>
      <c r="E35" s="398"/>
      <c r="F35" s="398"/>
      <c r="G35" s="398"/>
      <c r="H35" s="398"/>
      <c r="I35" s="398"/>
      <c r="J35" s="399"/>
    </row>
    <row r="36" spans="1:11">
      <c r="A36" s="362" t="s">
        <v>403</v>
      </c>
      <c r="B36" s="11" t="s">
        <v>464</v>
      </c>
      <c r="C36" s="11"/>
      <c r="D36" s="9"/>
      <c r="E36" s="9"/>
      <c r="F36" s="9"/>
      <c r="G36" s="9"/>
      <c r="H36" s="9"/>
      <c r="I36" s="9"/>
      <c r="J36" s="317"/>
      <c r="K36" s="2" t="s">
        <v>388</v>
      </c>
    </row>
    <row r="37" spans="1:11" ht="15" customHeight="1">
      <c r="A37" s="362" t="s">
        <v>404</v>
      </c>
      <c r="B37" s="338" t="s">
        <v>463</v>
      </c>
      <c r="C37" s="337"/>
      <c r="D37" s="409"/>
      <c r="E37" s="409"/>
      <c r="F37" s="409"/>
      <c r="G37" s="409"/>
      <c r="H37" s="409"/>
      <c r="I37" s="409"/>
      <c r="J37" s="410"/>
      <c r="K37" s="2" t="s">
        <v>387</v>
      </c>
    </row>
    <row r="38" spans="1:11">
      <c r="A38" s="362" t="s">
        <v>405</v>
      </c>
      <c r="B38" s="338" t="s">
        <v>465</v>
      </c>
      <c r="C38" s="338"/>
      <c r="D38" s="411"/>
      <c r="E38" s="411"/>
      <c r="F38" s="411"/>
      <c r="G38" s="411"/>
      <c r="H38" s="411"/>
      <c r="I38" s="411"/>
      <c r="J38" s="410"/>
      <c r="K38" s="2" t="s">
        <v>379</v>
      </c>
    </row>
    <row r="39" spans="1:11">
      <c r="A39" s="362" t="s">
        <v>406</v>
      </c>
      <c r="B39" s="338" t="s">
        <v>466</v>
      </c>
      <c r="C39" s="338"/>
      <c r="D39" s="411"/>
      <c r="E39" s="411"/>
      <c r="F39" s="411"/>
      <c r="G39" s="411"/>
      <c r="H39" s="411"/>
      <c r="I39" s="411"/>
      <c r="J39" s="410"/>
      <c r="K39" s="2" t="s">
        <v>387</v>
      </c>
    </row>
    <row r="40" spans="1:11">
      <c r="A40" s="362" t="s">
        <v>462</v>
      </c>
      <c r="B40" s="11" t="s">
        <v>467</v>
      </c>
      <c r="C40" s="11"/>
      <c r="D40" s="9"/>
      <c r="E40" s="9"/>
      <c r="F40" s="9"/>
      <c r="G40" s="9"/>
      <c r="H40" s="9"/>
      <c r="I40" s="9"/>
      <c r="J40" s="317"/>
      <c r="K40" s="2" t="s">
        <v>496</v>
      </c>
    </row>
    <row r="41" spans="1:11">
      <c r="A41" s="28"/>
      <c r="B41" s="7" t="s">
        <v>468</v>
      </c>
      <c r="C41" s="7"/>
      <c r="D41" s="7"/>
      <c r="E41" s="7"/>
      <c r="F41" s="7"/>
      <c r="G41" s="7"/>
      <c r="H41" s="7"/>
      <c r="I41" s="7"/>
      <c r="J41" s="280"/>
      <c r="K41" s="2" t="s">
        <v>387</v>
      </c>
    </row>
    <row r="42" spans="1:11">
      <c r="A42" s="38"/>
      <c r="B42" s="339"/>
      <c r="C42" s="38"/>
      <c r="D42" s="38"/>
      <c r="E42" s="38"/>
      <c r="F42" s="38"/>
      <c r="G42" s="339"/>
      <c r="H42" s="339"/>
      <c r="I42" s="38"/>
    </row>
    <row r="43" spans="1:11">
      <c r="A43" s="274" t="s">
        <v>434</v>
      </c>
      <c r="B43" s="275" t="s">
        <v>435</v>
      </c>
      <c r="C43" s="38"/>
      <c r="D43" s="38"/>
      <c r="E43" s="38"/>
      <c r="F43" s="38"/>
      <c r="G43" s="339"/>
      <c r="H43" s="339"/>
      <c r="I43" s="38"/>
    </row>
    <row r="44" spans="1:11">
      <c r="A44" s="273"/>
      <c r="B44" s="275" t="s">
        <v>437</v>
      </c>
      <c r="C44" s="38"/>
      <c r="D44" s="38"/>
      <c r="E44" s="38"/>
      <c r="F44" s="38"/>
      <c r="G44" s="339"/>
      <c r="H44" s="339"/>
      <c r="I44" s="38"/>
    </row>
    <row r="45" spans="1:11">
      <c r="A45" s="273"/>
      <c r="B45" s="336" t="s">
        <v>449</v>
      </c>
      <c r="C45" s="38"/>
      <c r="D45" s="38"/>
      <c r="E45" s="38"/>
      <c r="F45" s="38"/>
      <c r="G45" s="339"/>
      <c r="H45" s="339"/>
      <c r="I45" s="38"/>
    </row>
    <row r="46" spans="1:11" ht="15" customHeight="1">
      <c r="A46" s="273"/>
      <c r="B46" s="336" t="s">
        <v>448</v>
      </c>
      <c r="C46" s="38"/>
      <c r="D46" s="38"/>
      <c r="E46" s="38"/>
      <c r="F46" s="38"/>
      <c r="G46" s="339"/>
      <c r="H46" s="339"/>
      <c r="I46" s="38"/>
    </row>
    <row r="47" spans="1:11" ht="15" customHeight="1">
      <c r="A47" s="273"/>
      <c r="B47" s="275" t="s">
        <v>495</v>
      </c>
    </row>
    <row r="48" spans="1:11">
      <c r="A48" s="273"/>
      <c r="B48" s="275" t="s">
        <v>436</v>
      </c>
    </row>
    <row r="49" spans="2:2">
      <c r="B49" s="469">
        <f ca="1">NOW()</f>
        <v>40336.490005092593</v>
      </c>
    </row>
  </sheetData>
  <mergeCells count="1">
    <mergeCell ref="A22:B22"/>
  </mergeCells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>
    <oddFooter>&amp;C&amp;"Arial,Bold"&amp;12&amp;A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topLeftCell="B1" zoomScale="60" zoomScaleNormal="75" workbookViewId="0">
      <selection activeCell="C29" sqref="C29"/>
    </sheetView>
  </sheetViews>
  <sheetFormatPr defaultColWidth="9.140625" defaultRowHeight="15"/>
  <cols>
    <col min="1" max="1" width="21.85546875" style="46" hidden="1" customWidth="1"/>
    <col min="2" max="2" width="25.85546875" style="48" customWidth="1"/>
    <col min="3" max="3" width="82.140625" style="48" customWidth="1"/>
    <col min="4" max="4" width="15.5703125" style="49" hidden="1" customWidth="1"/>
    <col min="5" max="5" width="13" style="50" customWidth="1"/>
    <col min="6" max="7" width="9.85546875" style="50" customWidth="1"/>
    <col min="8" max="8" width="11.7109375" style="50" customWidth="1"/>
    <col min="9" max="9" width="1.42578125" style="51" customWidth="1"/>
    <col min="10" max="10" width="13.28515625" style="50" hidden="1" customWidth="1"/>
    <col min="11" max="11" width="19.42578125" style="49" hidden="1" customWidth="1"/>
    <col min="12" max="12" width="21.140625" style="49" hidden="1" customWidth="1"/>
    <col min="13" max="13" width="18.7109375" style="50" hidden="1" customWidth="1"/>
    <col min="14" max="14" width="11.5703125" style="52" hidden="1" customWidth="1"/>
    <col min="15" max="15" width="15.28515625" style="53" hidden="1" customWidth="1"/>
    <col min="16" max="16" width="11.5703125" style="442" bestFit="1" customWidth="1"/>
    <col min="17" max="17" width="13.28515625" style="48" customWidth="1"/>
    <col min="18" max="16384" width="9.140625" style="48"/>
  </cols>
  <sheetData>
    <row r="1" spans="1:16" ht="15" customHeight="1">
      <c r="B1" s="47" t="s">
        <v>128</v>
      </c>
    </row>
    <row r="2" spans="1:16" ht="15" customHeight="1" thickBot="1">
      <c r="A2" s="54"/>
      <c r="H2" s="55"/>
    </row>
    <row r="3" spans="1:16" ht="48" customHeight="1" thickBot="1">
      <c r="A3" s="56"/>
      <c r="B3" s="57"/>
      <c r="C3" s="57"/>
      <c r="D3" s="521" t="s">
        <v>129</v>
      </c>
      <c r="E3" s="524" t="s">
        <v>77</v>
      </c>
      <c r="F3" s="525"/>
      <c r="G3" s="526"/>
      <c r="H3" s="58" t="s">
        <v>0</v>
      </c>
      <c r="I3" s="59"/>
      <c r="J3" s="527" t="s">
        <v>497</v>
      </c>
      <c r="K3" s="60"/>
      <c r="L3" s="60"/>
      <c r="M3" s="527" t="s">
        <v>130</v>
      </c>
      <c r="N3" s="506" t="s">
        <v>131</v>
      </c>
      <c r="O3" s="527" t="s">
        <v>132</v>
      </c>
      <c r="P3" s="443" t="s">
        <v>131</v>
      </c>
    </row>
    <row r="4" spans="1:16" ht="16.5" thickBot="1">
      <c r="A4" s="62" t="s">
        <v>71</v>
      </c>
      <c r="B4" s="63" t="s">
        <v>133</v>
      </c>
      <c r="C4" s="63" t="s">
        <v>72</v>
      </c>
      <c r="D4" s="522"/>
      <c r="E4" s="64" t="s">
        <v>134</v>
      </c>
      <c r="F4" s="65" t="s">
        <v>135</v>
      </c>
      <c r="G4" s="65" t="s">
        <v>136</v>
      </c>
      <c r="H4" s="59"/>
      <c r="I4" s="59"/>
      <c r="J4" s="528"/>
      <c r="K4" s="66" t="s">
        <v>137</v>
      </c>
      <c r="L4" s="66" t="s">
        <v>138</v>
      </c>
      <c r="M4" s="528"/>
      <c r="N4" s="507"/>
      <c r="O4" s="528"/>
      <c r="P4" s="444"/>
    </row>
    <row r="5" spans="1:16" ht="16.5" thickBot="1">
      <c r="A5" s="68"/>
      <c r="B5" s="69"/>
      <c r="C5" s="69"/>
      <c r="D5" s="523"/>
      <c r="E5" s="64" t="s">
        <v>7</v>
      </c>
      <c r="F5" s="70" t="s">
        <v>7</v>
      </c>
      <c r="G5" s="70" t="s">
        <v>7</v>
      </c>
      <c r="H5" s="70" t="s">
        <v>7</v>
      </c>
      <c r="I5" s="71"/>
      <c r="J5" s="70" t="s">
        <v>7</v>
      </c>
      <c r="K5" s="72"/>
      <c r="L5" s="72"/>
      <c r="M5" s="70" t="s">
        <v>7</v>
      </c>
      <c r="N5" s="70"/>
      <c r="O5" s="73" t="s">
        <v>7</v>
      </c>
      <c r="P5" s="445"/>
    </row>
    <row r="6" spans="1:16" ht="15" customHeight="1">
      <c r="A6" s="74"/>
      <c r="B6" s="75" t="s">
        <v>20</v>
      </c>
      <c r="C6" s="76"/>
      <c r="D6" s="77"/>
      <c r="E6" s="78"/>
      <c r="F6" s="78"/>
      <c r="G6" s="78"/>
      <c r="H6" s="79"/>
      <c r="I6" s="79"/>
      <c r="J6" s="79"/>
      <c r="K6" s="80"/>
      <c r="L6" s="80"/>
      <c r="M6" s="81"/>
      <c r="N6" s="79"/>
      <c r="O6" s="82"/>
      <c r="P6" s="446"/>
    </row>
    <row r="7" spans="1:16" ht="15" hidden="1" customHeight="1">
      <c r="A7" s="74" t="s">
        <v>139</v>
      </c>
      <c r="B7" s="75"/>
      <c r="C7" s="76"/>
      <c r="D7" s="77"/>
      <c r="E7" s="78">
        <v>175600</v>
      </c>
      <c r="F7" s="78"/>
      <c r="G7" s="78"/>
      <c r="H7" s="81">
        <f t="shared" ref="H7:H13" si="0">SUM(E7:G7)</f>
        <v>175600</v>
      </c>
      <c r="I7" s="79"/>
      <c r="J7" s="79"/>
      <c r="K7" s="80"/>
      <c r="L7" s="80"/>
      <c r="M7" s="81"/>
      <c r="N7" s="79"/>
      <c r="O7" s="82"/>
      <c r="P7" s="446"/>
    </row>
    <row r="8" spans="1:16" ht="15" hidden="1" customHeight="1">
      <c r="A8" s="74" t="s">
        <v>78</v>
      </c>
      <c r="B8" s="75"/>
      <c r="C8" s="76"/>
      <c r="D8" s="77"/>
      <c r="E8" s="78">
        <v>80500</v>
      </c>
      <c r="F8" s="78"/>
      <c r="G8" s="78"/>
      <c r="H8" s="81">
        <f t="shared" si="0"/>
        <v>80500</v>
      </c>
      <c r="I8" s="79"/>
      <c r="J8" s="79"/>
      <c r="K8" s="80"/>
      <c r="L8" s="80"/>
      <c r="M8" s="81"/>
      <c r="N8" s="79"/>
      <c r="O8" s="82"/>
      <c r="P8" s="446"/>
    </row>
    <row r="9" spans="1:16" ht="15" hidden="1" customHeight="1">
      <c r="A9" s="74" t="s">
        <v>140</v>
      </c>
      <c r="B9" s="75"/>
      <c r="C9" s="76"/>
      <c r="D9" s="77"/>
      <c r="E9" s="78">
        <v>444</v>
      </c>
      <c r="F9" s="78"/>
      <c r="G9" s="78"/>
      <c r="H9" s="81">
        <f t="shared" si="0"/>
        <v>444</v>
      </c>
      <c r="I9" s="79"/>
      <c r="J9" s="79"/>
      <c r="K9" s="80"/>
      <c r="L9" s="80"/>
      <c r="M9" s="81"/>
      <c r="N9" s="79"/>
      <c r="O9" s="82"/>
      <c r="P9" s="446"/>
    </row>
    <row r="10" spans="1:16" ht="15" hidden="1" customHeight="1">
      <c r="A10" s="74" t="s">
        <v>141</v>
      </c>
      <c r="B10" s="75"/>
      <c r="C10" s="76"/>
      <c r="D10" s="77"/>
      <c r="E10" s="78">
        <v>528</v>
      </c>
      <c r="F10" s="78"/>
      <c r="G10" s="78"/>
      <c r="H10" s="81">
        <f t="shared" si="0"/>
        <v>528</v>
      </c>
      <c r="I10" s="79"/>
      <c r="J10" s="79"/>
      <c r="K10" s="80"/>
      <c r="L10" s="80"/>
      <c r="M10" s="81"/>
      <c r="N10" s="79"/>
      <c r="O10" s="82"/>
      <c r="P10" s="446"/>
    </row>
    <row r="11" spans="1:16" ht="15" hidden="1" customHeight="1">
      <c r="A11" s="74" t="s">
        <v>142</v>
      </c>
      <c r="B11" s="75"/>
      <c r="C11" s="76"/>
      <c r="D11" s="77"/>
      <c r="E11" s="78">
        <v>3664</v>
      </c>
      <c r="F11" s="78"/>
      <c r="G11" s="78"/>
      <c r="H11" s="81">
        <f t="shared" si="0"/>
        <v>3664</v>
      </c>
      <c r="I11" s="79"/>
      <c r="J11" s="79"/>
      <c r="K11" s="80"/>
      <c r="L11" s="80"/>
      <c r="M11" s="81"/>
      <c r="N11" s="79"/>
      <c r="O11" s="82"/>
      <c r="P11" s="446"/>
    </row>
    <row r="12" spans="1:16" ht="15" hidden="1" customHeight="1">
      <c r="A12" s="74" t="s">
        <v>143</v>
      </c>
      <c r="B12" s="75"/>
      <c r="C12" s="76"/>
      <c r="D12" s="77"/>
      <c r="E12" s="78">
        <v>5814</v>
      </c>
      <c r="F12" s="78"/>
      <c r="G12" s="78"/>
      <c r="H12" s="81">
        <f t="shared" si="0"/>
        <v>5814</v>
      </c>
      <c r="I12" s="79"/>
      <c r="J12" s="79"/>
      <c r="K12" s="80"/>
      <c r="L12" s="80"/>
      <c r="M12" s="81"/>
      <c r="N12" s="79"/>
      <c r="O12" s="82"/>
      <c r="P12" s="446"/>
    </row>
    <row r="13" spans="1:16" ht="15" hidden="1" customHeight="1">
      <c r="A13" s="74" t="s">
        <v>144</v>
      </c>
      <c r="B13" s="75"/>
      <c r="C13" s="76"/>
      <c r="D13" s="77"/>
      <c r="E13" s="78">
        <v>2199</v>
      </c>
      <c r="F13" s="78"/>
      <c r="G13" s="78"/>
      <c r="H13" s="81">
        <f t="shared" si="0"/>
        <v>2199</v>
      </c>
      <c r="I13" s="79"/>
      <c r="J13" s="79"/>
      <c r="K13" s="80"/>
      <c r="L13" s="80"/>
      <c r="M13" s="81"/>
      <c r="N13" s="79"/>
      <c r="O13" s="82"/>
      <c r="P13" s="446"/>
    </row>
    <row r="14" spans="1:16" ht="30.75" thickBot="1">
      <c r="A14" s="74"/>
      <c r="B14" s="76"/>
      <c r="C14" s="466" t="s">
        <v>505</v>
      </c>
      <c r="D14" s="77" t="s">
        <v>145</v>
      </c>
      <c r="E14" s="83">
        <f>SUM(E7:E13)-49</f>
        <v>268700</v>
      </c>
      <c r="F14" s="78">
        <f>SUM(F7:F13)</f>
        <v>0</v>
      </c>
      <c r="G14" s="78">
        <f>SUM(G7:G13)</f>
        <v>0</v>
      </c>
      <c r="H14" s="81">
        <f>SUM(H7:H13)-49</f>
        <v>268700</v>
      </c>
      <c r="I14" s="81"/>
      <c r="J14" s="81">
        <v>269700</v>
      </c>
      <c r="K14" s="80"/>
      <c r="L14" s="80"/>
      <c r="M14" s="81">
        <v>153400</v>
      </c>
      <c r="N14" s="79" t="s">
        <v>146</v>
      </c>
      <c r="O14" s="82"/>
      <c r="P14" s="446" t="s">
        <v>158</v>
      </c>
    </row>
    <row r="15" spans="1:16" ht="16.5" thickBot="1">
      <c r="A15" s="84"/>
      <c r="B15" s="85"/>
      <c r="C15" s="85"/>
      <c r="D15" s="86"/>
      <c r="E15" s="87">
        <f>E14</f>
        <v>268700</v>
      </c>
      <c r="F15" s="87">
        <f>F14</f>
        <v>0</v>
      </c>
      <c r="G15" s="87">
        <f>G14</f>
        <v>0</v>
      </c>
      <c r="H15" s="87">
        <f>H14</f>
        <v>268700</v>
      </c>
      <c r="I15" s="88"/>
      <c r="J15" s="87">
        <f>J14</f>
        <v>269700</v>
      </c>
      <c r="K15" s="89"/>
      <c r="L15" s="89"/>
      <c r="M15" s="90">
        <f>SUM(M7:M14)</f>
        <v>153400</v>
      </c>
      <c r="N15" s="89"/>
      <c r="O15" s="91"/>
      <c r="P15" s="447"/>
    </row>
    <row r="16" spans="1:16" ht="15" customHeight="1">
      <c r="A16" s="186"/>
      <c r="B16" s="57" t="s">
        <v>14</v>
      </c>
      <c r="C16" s="106"/>
      <c r="D16" s="107"/>
      <c r="E16" s="108"/>
      <c r="F16" s="108"/>
      <c r="G16" s="108"/>
      <c r="H16" s="92"/>
      <c r="I16" s="92"/>
      <c r="J16" s="109"/>
      <c r="K16" s="80"/>
      <c r="L16" s="80"/>
      <c r="M16" s="110"/>
      <c r="N16" s="111"/>
      <c r="O16" s="112"/>
      <c r="P16" s="448"/>
    </row>
    <row r="17" spans="1:17" s="118" customFormat="1" ht="45">
      <c r="A17" s="187" t="s">
        <v>164</v>
      </c>
      <c r="B17" s="148" t="s">
        <v>165</v>
      </c>
      <c r="C17" s="148" t="s">
        <v>166</v>
      </c>
      <c r="D17" s="149" t="s">
        <v>167</v>
      </c>
      <c r="E17" s="158">
        <v>19600</v>
      </c>
      <c r="F17" s="158">
        <v>0</v>
      </c>
      <c r="G17" s="158">
        <v>0</v>
      </c>
      <c r="H17" s="151">
        <f t="shared" ref="H17:H31" si="1">SUM(E17:G17)</f>
        <v>19600</v>
      </c>
      <c r="I17" s="114"/>
      <c r="J17" s="114">
        <v>14600</v>
      </c>
      <c r="K17" s="115" t="s">
        <v>168</v>
      </c>
      <c r="L17" s="115" t="s">
        <v>169</v>
      </c>
      <c r="M17" s="159">
        <v>0</v>
      </c>
      <c r="N17" s="117" t="s">
        <v>158</v>
      </c>
      <c r="O17" s="103" t="s">
        <v>54</v>
      </c>
      <c r="P17" s="117" t="s">
        <v>158</v>
      </c>
      <c r="Q17" s="441"/>
    </row>
    <row r="18" spans="1:17" s="104" customFormat="1" ht="30">
      <c r="A18" s="188" t="s">
        <v>170</v>
      </c>
      <c r="B18" s="152" t="s">
        <v>62</v>
      </c>
      <c r="C18" s="152" t="s">
        <v>171</v>
      </c>
      <c r="D18" s="153" t="s">
        <v>167</v>
      </c>
      <c r="E18" s="154">
        <f>8479+21</f>
        <v>8500</v>
      </c>
      <c r="F18" s="154"/>
      <c r="G18" s="154"/>
      <c r="H18" s="160">
        <f t="shared" si="1"/>
        <v>8500</v>
      </c>
      <c r="I18" s="99"/>
      <c r="J18" s="160">
        <v>8500</v>
      </c>
      <c r="K18" s="101" t="s">
        <v>168</v>
      </c>
      <c r="L18" s="101" t="s">
        <v>169</v>
      </c>
      <c r="M18" s="157">
        <v>0</v>
      </c>
      <c r="N18" s="103" t="s">
        <v>158</v>
      </c>
      <c r="O18" s="103" t="s">
        <v>172</v>
      </c>
      <c r="P18" s="456" t="s">
        <v>158</v>
      </c>
      <c r="Q18" s="441"/>
    </row>
    <row r="19" spans="1:17" s="118" customFormat="1" hidden="1">
      <c r="A19" s="113" t="s">
        <v>79</v>
      </c>
      <c r="B19" s="97"/>
      <c r="C19" s="97"/>
      <c r="D19" s="98"/>
      <c r="E19" s="114">
        <f>24900</f>
        <v>24900</v>
      </c>
      <c r="F19" s="114"/>
      <c r="G19" s="114"/>
      <c r="H19" s="100">
        <f t="shared" si="1"/>
        <v>24900</v>
      </c>
      <c r="I19" s="114"/>
      <c r="J19" s="114">
        <v>22200</v>
      </c>
      <c r="K19" s="115"/>
      <c r="L19" s="115"/>
      <c r="M19" s="116"/>
      <c r="N19" s="117"/>
      <c r="O19" s="103"/>
      <c r="P19" s="449"/>
    </row>
    <row r="20" spans="1:17" s="118" customFormat="1" hidden="1">
      <c r="A20" s="113" t="s">
        <v>73</v>
      </c>
      <c r="B20" s="97"/>
      <c r="C20" s="97"/>
      <c r="D20" s="98"/>
      <c r="E20" s="114">
        <v>18500</v>
      </c>
      <c r="F20" s="114"/>
      <c r="G20" s="114"/>
      <c r="H20" s="100">
        <f t="shared" si="1"/>
        <v>18500</v>
      </c>
      <c r="I20" s="114"/>
      <c r="J20" s="114">
        <v>20100</v>
      </c>
      <c r="K20" s="115"/>
      <c r="L20" s="115"/>
      <c r="M20" s="116"/>
      <c r="N20" s="117"/>
      <c r="O20" s="103"/>
      <c r="P20" s="449"/>
    </row>
    <row r="21" spans="1:17" s="104" customFormat="1" ht="30">
      <c r="A21" s="190"/>
      <c r="B21" s="148" t="s">
        <v>80</v>
      </c>
      <c r="C21" s="148" t="s">
        <v>173</v>
      </c>
      <c r="D21" s="149" t="s">
        <v>167</v>
      </c>
      <c r="E21" s="150">
        <f>SUM(E19:E20)</f>
        <v>43400</v>
      </c>
      <c r="F21" s="150">
        <f>SUM(F19:F20)</f>
        <v>0</v>
      </c>
      <c r="G21" s="150">
        <f>SUM(G19:G20)</f>
        <v>0</v>
      </c>
      <c r="H21" s="164">
        <f>SUM(H19:H20)</f>
        <v>43400</v>
      </c>
      <c r="I21" s="99"/>
      <c r="J21" s="160">
        <f>SUM(J19:J20)</f>
        <v>42300</v>
      </c>
      <c r="K21" s="101" t="s">
        <v>168</v>
      </c>
      <c r="L21" s="101" t="s">
        <v>169</v>
      </c>
      <c r="M21" s="156">
        <f>67500+24400</f>
        <v>91900</v>
      </c>
      <c r="N21" s="103" t="s">
        <v>174</v>
      </c>
      <c r="O21" s="103" t="s">
        <v>167</v>
      </c>
      <c r="P21" s="470" t="s">
        <v>158</v>
      </c>
    </row>
    <row r="22" spans="1:17" s="104" customFormat="1" ht="30">
      <c r="A22" s="188" t="s">
        <v>81</v>
      </c>
      <c r="B22" s="152" t="s">
        <v>175</v>
      </c>
      <c r="C22" s="152" t="s">
        <v>176</v>
      </c>
      <c r="D22" s="153" t="s">
        <v>145</v>
      </c>
      <c r="E22" s="154">
        <v>15900</v>
      </c>
      <c r="F22" s="154"/>
      <c r="G22" s="154"/>
      <c r="H22" s="160">
        <f>SUM(E22:G22)</f>
        <v>15900</v>
      </c>
      <c r="I22" s="99"/>
      <c r="J22" s="160">
        <v>15900</v>
      </c>
      <c r="K22" s="101"/>
      <c r="L22" s="101" t="s">
        <v>177</v>
      </c>
      <c r="M22" s="157">
        <v>18400</v>
      </c>
      <c r="N22" s="103" t="s">
        <v>146</v>
      </c>
      <c r="O22" s="103" t="s">
        <v>167</v>
      </c>
      <c r="P22" s="450" t="s">
        <v>158</v>
      </c>
    </row>
    <row r="23" spans="1:17" s="104" customFormat="1" ht="30">
      <c r="A23" s="188" t="s">
        <v>178</v>
      </c>
      <c r="B23" s="152" t="s">
        <v>179</v>
      </c>
      <c r="C23" s="152" t="s">
        <v>180</v>
      </c>
      <c r="D23" s="153" t="s">
        <v>145</v>
      </c>
      <c r="E23" s="154">
        <v>175000</v>
      </c>
      <c r="F23" s="154"/>
      <c r="G23" s="154"/>
      <c r="H23" s="160">
        <f t="shared" si="1"/>
        <v>175000</v>
      </c>
      <c r="I23" s="99"/>
      <c r="J23" s="160">
        <v>175000</v>
      </c>
      <c r="K23" s="101"/>
      <c r="L23" s="101" t="s">
        <v>181</v>
      </c>
      <c r="M23" s="157">
        <v>0</v>
      </c>
      <c r="N23" s="103" t="s">
        <v>158</v>
      </c>
      <c r="O23" s="103" t="s">
        <v>182</v>
      </c>
      <c r="P23" s="117" t="s">
        <v>158</v>
      </c>
      <c r="Q23" s="441"/>
    </row>
    <row r="24" spans="1:17" s="104" customFormat="1" ht="30">
      <c r="A24" s="188" t="s">
        <v>183</v>
      </c>
      <c r="B24" s="152" t="s">
        <v>184</v>
      </c>
      <c r="C24" s="152" t="s">
        <v>553</v>
      </c>
      <c r="D24" s="153" t="s">
        <v>145</v>
      </c>
      <c r="E24" s="154">
        <f>14948-48</f>
        <v>14900</v>
      </c>
      <c r="F24" s="154"/>
      <c r="G24" s="154"/>
      <c r="H24" s="160">
        <f t="shared" si="1"/>
        <v>14900</v>
      </c>
      <c r="I24" s="99"/>
      <c r="J24" s="160">
        <v>14900</v>
      </c>
      <c r="K24" s="101" t="s">
        <v>168</v>
      </c>
      <c r="L24" s="101" t="s">
        <v>169</v>
      </c>
      <c r="M24" s="182">
        <v>0</v>
      </c>
      <c r="N24" s="103" t="s">
        <v>158</v>
      </c>
      <c r="O24" s="103" t="s">
        <v>54</v>
      </c>
      <c r="P24" s="457" t="s">
        <v>158</v>
      </c>
      <c r="Q24" s="441"/>
    </row>
    <row r="25" spans="1:17" s="118" customFormat="1" ht="30">
      <c r="A25" s="189" t="s">
        <v>186</v>
      </c>
      <c r="B25" s="161" t="s">
        <v>187</v>
      </c>
      <c r="C25" s="152" t="s">
        <v>188</v>
      </c>
      <c r="D25" s="165" t="s">
        <v>167</v>
      </c>
      <c r="E25" s="162">
        <f>141800-4153.12-47</f>
        <v>137599.88</v>
      </c>
      <c r="F25" s="162"/>
      <c r="G25" s="162"/>
      <c r="H25" s="155">
        <f t="shared" si="1"/>
        <v>137599.88</v>
      </c>
      <c r="I25" s="114"/>
      <c r="J25" s="155">
        <v>137600</v>
      </c>
      <c r="K25" s="115" t="s">
        <v>168</v>
      </c>
      <c r="L25" s="115" t="s">
        <v>169</v>
      </c>
      <c r="M25" s="163">
        <v>0</v>
      </c>
      <c r="N25" s="184" t="s">
        <v>158</v>
      </c>
      <c r="O25" s="185" t="s">
        <v>189</v>
      </c>
      <c r="P25" s="184" t="s">
        <v>158</v>
      </c>
      <c r="Q25" s="441"/>
    </row>
    <row r="26" spans="1:17" ht="30">
      <c r="A26" s="191" t="s">
        <v>190</v>
      </c>
      <c r="B26" s="166" t="s">
        <v>187</v>
      </c>
      <c r="C26" s="167" t="s">
        <v>191</v>
      </c>
      <c r="D26" s="165" t="s">
        <v>167</v>
      </c>
      <c r="E26" s="168">
        <f>-137647+47</f>
        <v>-137600</v>
      </c>
      <c r="F26" s="168"/>
      <c r="G26" s="168"/>
      <c r="H26" s="169">
        <f t="shared" si="1"/>
        <v>-137600</v>
      </c>
      <c r="I26" s="93"/>
      <c r="J26" s="169">
        <v>-137600</v>
      </c>
      <c r="K26" s="80" t="s">
        <v>168</v>
      </c>
      <c r="L26" s="80" t="s">
        <v>169</v>
      </c>
      <c r="M26" s="183">
        <v>0</v>
      </c>
      <c r="N26" s="94" t="s">
        <v>158</v>
      </c>
      <c r="O26" s="95" t="s">
        <v>189</v>
      </c>
      <c r="P26" s="193" t="s">
        <v>158</v>
      </c>
      <c r="Q26" s="441"/>
    </row>
    <row r="27" spans="1:17" s="118" customFormat="1" ht="30">
      <c r="A27" s="189" t="s">
        <v>192</v>
      </c>
      <c r="B27" s="161" t="s">
        <v>124</v>
      </c>
      <c r="C27" s="152" t="s">
        <v>193</v>
      </c>
      <c r="D27" s="165" t="s">
        <v>145</v>
      </c>
      <c r="E27" s="162">
        <v>20200</v>
      </c>
      <c r="F27" s="162"/>
      <c r="G27" s="162"/>
      <c r="H27" s="155">
        <f t="shared" si="1"/>
        <v>20200</v>
      </c>
      <c r="I27" s="114"/>
      <c r="J27" s="155">
        <v>20200</v>
      </c>
      <c r="K27" s="115"/>
      <c r="L27" s="115" t="s">
        <v>177</v>
      </c>
      <c r="M27" s="163">
        <v>0</v>
      </c>
      <c r="N27" s="117" t="s">
        <v>158</v>
      </c>
      <c r="O27" s="103" t="s">
        <v>194</v>
      </c>
      <c r="P27" s="117" t="s">
        <v>158</v>
      </c>
      <c r="Q27" s="441"/>
    </row>
    <row r="28" spans="1:17" s="104" customFormat="1" ht="30">
      <c r="A28" s="188" t="s">
        <v>195</v>
      </c>
      <c r="B28" s="152" t="s">
        <v>196</v>
      </c>
      <c r="C28" s="152" t="s">
        <v>197</v>
      </c>
      <c r="D28" s="153" t="s">
        <v>145</v>
      </c>
      <c r="E28" s="154">
        <f>2023-23</f>
        <v>2000</v>
      </c>
      <c r="F28" s="154"/>
      <c r="G28" s="154"/>
      <c r="H28" s="155">
        <f t="shared" si="1"/>
        <v>2000</v>
      </c>
      <c r="I28" s="99"/>
      <c r="J28" s="160">
        <v>2000</v>
      </c>
      <c r="K28" s="101"/>
      <c r="L28" s="101" t="s">
        <v>177</v>
      </c>
      <c r="M28" s="157">
        <v>0</v>
      </c>
      <c r="N28" s="103" t="s">
        <v>146</v>
      </c>
      <c r="O28" s="103" t="s">
        <v>189</v>
      </c>
      <c r="P28" s="450" t="s">
        <v>158</v>
      </c>
    </row>
    <row r="29" spans="1:17" s="104" customFormat="1" ht="30.75">
      <c r="A29" s="188" t="s">
        <v>198</v>
      </c>
      <c r="B29" s="152" t="s">
        <v>199</v>
      </c>
      <c r="C29" s="152" t="s">
        <v>554</v>
      </c>
      <c r="D29" s="153" t="s">
        <v>145</v>
      </c>
      <c r="E29" s="154">
        <f>90432-32</f>
        <v>90400</v>
      </c>
      <c r="F29" s="154"/>
      <c r="G29" s="154"/>
      <c r="H29" s="160">
        <f t="shared" si="1"/>
        <v>90400</v>
      </c>
      <c r="I29" s="99"/>
      <c r="J29" s="160">
        <v>88300</v>
      </c>
      <c r="K29" s="101" t="s">
        <v>201</v>
      </c>
      <c r="L29" s="101" t="s">
        <v>152</v>
      </c>
      <c r="M29" s="157">
        <v>0</v>
      </c>
      <c r="N29" s="103" t="s">
        <v>158</v>
      </c>
      <c r="O29" s="103" t="s">
        <v>167</v>
      </c>
      <c r="P29" s="117" t="s">
        <v>158</v>
      </c>
      <c r="Q29" s="441"/>
    </row>
    <row r="30" spans="1:17" s="104" customFormat="1" ht="30">
      <c r="A30" s="188" t="s">
        <v>202</v>
      </c>
      <c r="B30" s="152" t="s">
        <v>203</v>
      </c>
      <c r="C30" s="152" t="s">
        <v>204</v>
      </c>
      <c r="D30" s="153" t="s">
        <v>145</v>
      </c>
      <c r="E30" s="154">
        <v>1800</v>
      </c>
      <c r="F30" s="154"/>
      <c r="G30" s="154"/>
      <c r="H30" s="160">
        <f t="shared" si="1"/>
        <v>1800</v>
      </c>
      <c r="I30" s="99"/>
      <c r="J30" s="160">
        <v>1800</v>
      </c>
      <c r="K30" s="101"/>
      <c r="L30" s="101" t="s">
        <v>177</v>
      </c>
      <c r="M30" s="157">
        <v>0</v>
      </c>
      <c r="N30" s="103" t="s">
        <v>158</v>
      </c>
      <c r="O30" s="103" t="s">
        <v>167</v>
      </c>
      <c r="P30" s="456" t="s">
        <v>158</v>
      </c>
      <c r="Q30" s="441"/>
    </row>
    <row r="31" spans="1:17" s="104" customFormat="1" ht="30.75" thickBot="1">
      <c r="A31" s="188" t="s">
        <v>205</v>
      </c>
      <c r="B31" s="152" t="s">
        <v>42</v>
      </c>
      <c r="C31" s="152" t="s">
        <v>206</v>
      </c>
      <c r="D31" s="181" t="s">
        <v>167</v>
      </c>
      <c r="E31" s="99"/>
      <c r="F31" s="99">
        <v>29000</v>
      </c>
      <c r="G31" s="99"/>
      <c r="H31" s="119">
        <f t="shared" si="1"/>
        <v>29000</v>
      </c>
      <c r="I31" s="99"/>
      <c r="J31" s="99">
        <v>29000</v>
      </c>
      <c r="K31" s="101" t="s">
        <v>207</v>
      </c>
      <c r="L31" s="101" t="s">
        <v>169</v>
      </c>
      <c r="M31" s="102">
        <v>33100</v>
      </c>
      <c r="N31" s="103" t="s">
        <v>158</v>
      </c>
      <c r="O31" s="103" t="s">
        <v>208</v>
      </c>
      <c r="P31" s="117" t="s">
        <v>158</v>
      </c>
      <c r="Q31" s="441"/>
    </row>
    <row r="32" spans="1:17" ht="16.5" thickBot="1">
      <c r="A32" s="105"/>
      <c r="B32" s="85"/>
      <c r="C32" s="85"/>
      <c r="D32" s="86"/>
      <c r="E32" s="87">
        <f>SUM(E17:E31)-E19-E20</f>
        <v>391699.88</v>
      </c>
      <c r="F32" s="87">
        <f>SUM(F17:F31)-F19-F20</f>
        <v>29000</v>
      </c>
      <c r="G32" s="87">
        <f>SUM(G17:G31)-G19-G20</f>
        <v>0</v>
      </c>
      <c r="H32" s="87">
        <f>SUM(H17:H31)-H19-H20</f>
        <v>420699.88</v>
      </c>
      <c r="I32" s="88"/>
      <c r="J32" s="87">
        <f>SUM(J17:J31)-J19-J20</f>
        <v>412500</v>
      </c>
      <c r="K32" s="89"/>
      <c r="L32" s="89"/>
      <c r="M32" s="90">
        <f>SUM(M17:M31)-M19-M20</f>
        <v>143400</v>
      </c>
      <c r="N32" s="89"/>
      <c r="O32" s="91"/>
      <c r="P32" s="447"/>
    </row>
    <row r="33" spans="8:16">
      <c r="H33" s="51"/>
      <c r="J33" s="51"/>
      <c r="M33" s="145"/>
      <c r="N33" s="146"/>
      <c r="O33" s="147"/>
      <c r="P33" s="455"/>
    </row>
    <row r="34" spans="8:16">
      <c r="H34" s="51"/>
      <c r="J34" s="51"/>
      <c r="M34" s="145"/>
      <c r="N34" s="146"/>
      <c r="O34" s="147"/>
      <c r="P34" s="455"/>
    </row>
    <row r="35" spans="8:16">
      <c r="H35" s="51"/>
      <c r="J35" s="51"/>
      <c r="M35" s="145"/>
      <c r="N35" s="146"/>
      <c r="O35" s="147"/>
      <c r="P35" s="455"/>
    </row>
    <row r="36" spans="8:16">
      <c r="H36" s="51"/>
      <c r="J36" s="51"/>
      <c r="M36" s="145"/>
      <c r="N36" s="146"/>
      <c r="O36" s="147"/>
      <c r="P36" s="455"/>
    </row>
    <row r="37" spans="8:16">
      <c r="H37" s="51"/>
      <c r="J37" s="51"/>
      <c r="M37" s="145"/>
      <c r="N37" s="146"/>
      <c r="O37" s="147"/>
      <c r="P37" s="455"/>
    </row>
    <row r="38" spans="8:16">
      <c r="H38" s="51"/>
      <c r="J38" s="51"/>
      <c r="M38" s="145"/>
      <c r="N38" s="146"/>
      <c r="O38" s="147"/>
      <c r="P38" s="455"/>
    </row>
    <row r="39" spans="8:16">
      <c r="H39" s="51"/>
      <c r="J39" s="51"/>
      <c r="M39" s="51"/>
      <c r="N39" s="146"/>
      <c r="O39" s="147"/>
      <c r="P39" s="455"/>
    </row>
    <row r="40" spans="8:16">
      <c r="H40" s="51"/>
      <c r="J40" s="51"/>
      <c r="M40" s="51"/>
      <c r="N40" s="146"/>
      <c r="O40" s="147"/>
      <c r="P40" s="455"/>
    </row>
    <row r="41" spans="8:16">
      <c r="H41" s="51"/>
      <c r="J41" s="51"/>
      <c r="M41" s="51"/>
      <c r="N41" s="146"/>
      <c r="O41" s="147"/>
      <c r="P41" s="455"/>
    </row>
  </sheetData>
  <mergeCells count="5">
    <mergeCell ref="D3:D5"/>
    <mergeCell ref="E3:G3"/>
    <mergeCell ref="J3:J4"/>
    <mergeCell ref="M3:M4"/>
    <mergeCell ref="O3:O4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Header>&amp;R&amp;"Arial,Bold"&amp;12APPENDIX B [1]</oddHeader>
    <oddFooter>&amp;C&amp;"Arial,Bold"&amp;12&amp;A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topLeftCell="B1" zoomScale="60" zoomScaleNormal="75" workbookViewId="0">
      <selection activeCell="C9" sqref="C9"/>
    </sheetView>
  </sheetViews>
  <sheetFormatPr defaultColWidth="9.140625" defaultRowHeight="15"/>
  <cols>
    <col min="1" max="1" width="21.85546875" style="46" hidden="1" customWidth="1"/>
    <col min="2" max="2" width="25.85546875" style="48" customWidth="1"/>
    <col min="3" max="3" width="82.140625" style="48" customWidth="1"/>
    <col min="4" max="4" width="15.5703125" style="49" hidden="1" customWidth="1"/>
    <col min="5" max="5" width="13" style="50" customWidth="1"/>
    <col min="6" max="7" width="9.85546875" style="50" customWidth="1"/>
    <col min="8" max="8" width="11.7109375" style="50" customWidth="1"/>
    <col min="9" max="9" width="1.42578125" style="51" customWidth="1"/>
    <col min="10" max="10" width="13.28515625" style="50" hidden="1" customWidth="1"/>
    <col min="11" max="11" width="19.42578125" style="49" hidden="1" customWidth="1"/>
    <col min="12" max="12" width="21.140625" style="49" hidden="1" customWidth="1"/>
    <col min="13" max="13" width="18.7109375" style="50" hidden="1" customWidth="1"/>
    <col min="14" max="14" width="11.5703125" style="52" hidden="1" customWidth="1"/>
    <col min="15" max="15" width="15.28515625" style="53" hidden="1" customWidth="1"/>
    <col min="16" max="16" width="11.5703125" style="442" bestFit="1" customWidth="1"/>
    <col min="17" max="17" width="13.28515625" style="48" customWidth="1"/>
    <col min="18" max="16384" width="9.140625" style="48"/>
  </cols>
  <sheetData>
    <row r="1" spans="1:17" ht="15" customHeight="1">
      <c r="B1" s="47" t="s">
        <v>128</v>
      </c>
    </row>
    <row r="2" spans="1:17" ht="15" customHeight="1" thickBot="1">
      <c r="A2" s="54"/>
      <c r="H2" s="55"/>
    </row>
    <row r="3" spans="1:17" ht="48" customHeight="1" thickBot="1">
      <c r="A3" s="56"/>
      <c r="B3" s="57"/>
      <c r="C3" s="57"/>
      <c r="D3" s="521" t="s">
        <v>129</v>
      </c>
      <c r="E3" s="524" t="s">
        <v>77</v>
      </c>
      <c r="F3" s="525"/>
      <c r="G3" s="526"/>
      <c r="H3" s="58" t="s">
        <v>0</v>
      </c>
      <c r="I3" s="59"/>
      <c r="J3" s="527" t="s">
        <v>497</v>
      </c>
      <c r="K3" s="60"/>
      <c r="L3" s="60"/>
      <c r="M3" s="527" t="s">
        <v>130</v>
      </c>
      <c r="N3" s="506" t="s">
        <v>131</v>
      </c>
      <c r="O3" s="527" t="s">
        <v>132</v>
      </c>
      <c r="P3" s="443" t="s">
        <v>131</v>
      </c>
    </row>
    <row r="4" spans="1:17" ht="16.5" thickBot="1">
      <c r="A4" s="62" t="s">
        <v>71</v>
      </c>
      <c r="B4" s="63" t="s">
        <v>133</v>
      </c>
      <c r="C4" s="63" t="s">
        <v>72</v>
      </c>
      <c r="D4" s="522"/>
      <c r="E4" s="64" t="s">
        <v>134</v>
      </c>
      <c r="F4" s="65" t="s">
        <v>135</v>
      </c>
      <c r="G4" s="65" t="s">
        <v>136</v>
      </c>
      <c r="H4" s="59"/>
      <c r="I4" s="59"/>
      <c r="J4" s="528"/>
      <c r="K4" s="66" t="s">
        <v>137</v>
      </c>
      <c r="L4" s="66" t="s">
        <v>138</v>
      </c>
      <c r="M4" s="528"/>
      <c r="N4" s="507"/>
      <c r="O4" s="528"/>
      <c r="P4" s="444"/>
    </row>
    <row r="5" spans="1:17" ht="16.5" thickBot="1">
      <c r="A5" s="68"/>
      <c r="B5" s="69"/>
      <c r="C5" s="69"/>
      <c r="D5" s="523"/>
      <c r="E5" s="64" t="s">
        <v>7</v>
      </c>
      <c r="F5" s="70" t="s">
        <v>7</v>
      </c>
      <c r="G5" s="70" t="s">
        <v>7</v>
      </c>
      <c r="H5" s="70" t="s">
        <v>7</v>
      </c>
      <c r="I5" s="71"/>
      <c r="J5" s="70" t="s">
        <v>7</v>
      </c>
      <c r="K5" s="72"/>
      <c r="L5" s="72"/>
      <c r="M5" s="70" t="s">
        <v>7</v>
      </c>
      <c r="N5" s="70"/>
      <c r="O5" s="73" t="s">
        <v>7</v>
      </c>
      <c r="P5" s="445"/>
    </row>
    <row r="6" spans="1:17" ht="18" customHeight="1">
      <c r="A6" s="74"/>
      <c r="B6" s="63" t="s">
        <v>11</v>
      </c>
      <c r="C6" s="76"/>
      <c r="D6" s="77"/>
      <c r="E6" s="78"/>
      <c r="F6" s="78"/>
      <c r="G6" s="78"/>
      <c r="H6" s="92"/>
      <c r="I6" s="92"/>
      <c r="J6" s="92"/>
      <c r="K6" s="80"/>
      <c r="L6" s="80"/>
      <c r="M6" s="81"/>
      <c r="N6" s="79"/>
      <c r="O6" s="82"/>
      <c r="P6" s="448"/>
    </row>
    <row r="7" spans="1:17" s="505" customFormat="1" ht="45" customHeight="1">
      <c r="A7" s="440" t="s">
        <v>147</v>
      </c>
      <c r="B7" s="496" t="s">
        <v>499</v>
      </c>
      <c r="C7" s="496" t="s">
        <v>150</v>
      </c>
      <c r="D7" s="497" t="s">
        <v>145</v>
      </c>
      <c r="E7" s="498">
        <v>31000</v>
      </c>
      <c r="F7" s="499"/>
      <c r="G7" s="499"/>
      <c r="H7" s="500">
        <f t="shared" ref="H7:H8" si="0">SUM(E7:G7)</f>
        <v>31000</v>
      </c>
      <c r="I7" s="501"/>
      <c r="J7" s="502">
        <v>31000</v>
      </c>
      <c r="K7" s="503" t="s">
        <v>151</v>
      </c>
      <c r="L7" s="503" t="s">
        <v>152</v>
      </c>
      <c r="M7" s="504">
        <f>SUM(M6:M6)</f>
        <v>0</v>
      </c>
      <c r="N7" s="178" t="s">
        <v>153</v>
      </c>
      <c r="O7" s="178" t="s">
        <v>154</v>
      </c>
      <c r="P7" s="450" t="s">
        <v>153</v>
      </c>
    </row>
    <row r="8" spans="1:17" s="439" customFormat="1" ht="45" customHeight="1">
      <c r="A8" s="440" t="s">
        <v>148</v>
      </c>
      <c r="B8" s="433" t="s">
        <v>149</v>
      </c>
      <c r="C8" s="433" t="s">
        <v>500</v>
      </c>
      <c r="D8" s="438" t="s">
        <v>145</v>
      </c>
      <c r="E8" s="434">
        <v>9500</v>
      </c>
      <c r="F8" s="434">
        <f>SUM(F7:F7)</f>
        <v>0</v>
      </c>
      <c r="G8" s="434">
        <f>SUM(G7:G7)</f>
        <v>0</v>
      </c>
      <c r="H8" s="435">
        <f t="shared" si="0"/>
        <v>9500</v>
      </c>
      <c r="I8" s="434"/>
      <c r="J8" s="434">
        <v>9500</v>
      </c>
      <c r="K8" s="436" t="s">
        <v>151</v>
      </c>
      <c r="L8" s="436" t="s">
        <v>152</v>
      </c>
      <c r="M8" s="437">
        <f>SUM(M7:M7)</f>
        <v>0</v>
      </c>
      <c r="N8" s="178" t="s">
        <v>158</v>
      </c>
      <c r="O8" s="178" t="s">
        <v>154</v>
      </c>
      <c r="P8" s="456" t="s">
        <v>158</v>
      </c>
      <c r="Q8" s="441"/>
    </row>
    <row r="9" spans="1:17" s="104" customFormat="1" ht="45">
      <c r="A9" s="190" t="s">
        <v>155</v>
      </c>
      <c r="B9" s="152" t="s">
        <v>156</v>
      </c>
      <c r="C9" s="152" t="s">
        <v>552</v>
      </c>
      <c r="D9" s="153" t="s">
        <v>145</v>
      </c>
      <c r="E9" s="154">
        <v>100000</v>
      </c>
      <c r="F9" s="154"/>
      <c r="G9" s="154"/>
      <c r="H9" s="155">
        <f>SUM(E9:G9)</f>
        <v>100000</v>
      </c>
      <c r="I9" s="99"/>
      <c r="J9" s="160">
        <v>100000</v>
      </c>
      <c r="K9" s="101" t="s">
        <v>151</v>
      </c>
      <c r="L9" s="101" t="s">
        <v>152</v>
      </c>
      <c r="M9" s="157">
        <v>0</v>
      </c>
      <c r="N9" s="103" t="s">
        <v>158</v>
      </c>
      <c r="O9" s="103" t="s">
        <v>159</v>
      </c>
      <c r="P9" s="456" t="s">
        <v>158</v>
      </c>
      <c r="Q9" s="441"/>
    </row>
    <row r="10" spans="1:17" s="104" customFormat="1" ht="45.75" thickBot="1">
      <c r="A10" s="96" t="s">
        <v>160</v>
      </c>
      <c r="B10" s="148" t="s">
        <v>161</v>
      </c>
      <c r="C10" s="148" t="s">
        <v>162</v>
      </c>
      <c r="D10" s="98" t="s">
        <v>145</v>
      </c>
      <c r="E10" s="99">
        <v>8500</v>
      </c>
      <c r="F10" s="99"/>
      <c r="G10" s="99"/>
      <c r="H10" s="100">
        <f>SUM(E10:G10)</f>
        <v>8500</v>
      </c>
      <c r="I10" s="99"/>
      <c r="J10" s="102">
        <v>3000</v>
      </c>
      <c r="K10" s="101" t="s">
        <v>151</v>
      </c>
      <c r="L10" s="101" t="s">
        <v>152</v>
      </c>
      <c r="M10" s="102">
        <v>0</v>
      </c>
      <c r="N10" s="103" t="s">
        <v>158</v>
      </c>
      <c r="O10" s="103" t="s">
        <v>163</v>
      </c>
      <c r="P10" s="121" t="s">
        <v>158</v>
      </c>
      <c r="Q10" s="441"/>
    </row>
    <row r="11" spans="1:17" ht="15" customHeight="1" thickBot="1">
      <c r="A11" s="105"/>
      <c r="B11" s="85"/>
      <c r="C11" s="85"/>
      <c r="D11" s="86"/>
      <c r="E11" s="87">
        <f>SUM(E7:E10)</f>
        <v>149000</v>
      </c>
      <c r="F11" s="87">
        <f>SUM(F7:F10)</f>
        <v>0</v>
      </c>
      <c r="G11" s="87">
        <f>SUM(G7:G10)</f>
        <v>0</v>
      </c>
      <c r="H11" s="87">
        <f>SUM(H7:H10)</f>
        <v>149000</v>
      </c>
      <c r="I11" s="88"/>
      <c r="J11" s="87">
        <f>SUM(J7:J10)</f>
        <v>143500</v>
      </c>
      <c r="K11" s="89"/>
      <c r="L11" s="89"/>
      <c r="M11" s="90">
        <f>SUM(M7:M10)</f>
        <v>0</v>
      </c>
      <c r="N11" s="89"/>
      <c r="O11" s="91"/>
      <c r="P11" s="447"/>
    </row>
    <row r="12" spans="1:17" ht="15" customHeight="1">
      <c r="A12" s="74"/>
      <c r="B12" s="75" t="s">
        <v>10</v>
      </c>
      <c r="C12" s="76"/>
      <c r="D12" s="77"/>
      <c r="E12" s="78"/>
      <c r="F12" s="78"/>
      <c r="G12" s="78"/>
      <c r="H12" s="92"/>
      <c r="I12" s="79"/>
      <c r="J12" s="79"/>
      <c r="K12" s="80"/>
      <c r="L12" s="80"/>
      <c r="M12" s="81"/>
      <c r="N12" s="79"/>
      <c r="O12" s="82"/>
      <c r="P12" s="446"/>
    </row>
    <row r="13" spans="1:17" s="118" customFormat="1" ht="30">
      <c r="A13" s="187" t="s">
        <v>82</v>
      </c>
      <c r="B13" s="170" t="s">
        <v>38</v>
      </c>
      <c r="C13" s="170" t="s">
        <v>209</v>
      </c>
      <c r="D13" s="171" t="s">
        <v>145</v>
      </c>
      <c r="E13" s="158">
        <v>15300</v>
      </c>
      <c r="F13" s="158"/>
      <c r="G13" s="158"/>
      <c r="H13" s="151">
        <f>SUM(E13:G13)</f>
        <v>15300</v>
      </c>
      <c r="I13" s="121"/>
      <c r="J13" s="122">
        <v>15300</v>
      </c>
      <c r="K13" s="115" t="s">
        <v>207</v>
      </c>
      <c r="L13" s="115" t="s">
        <v>177</v>
      </c>
      <c r="M13" s="159">
        <v>15300</v>
      </c>
      <c r="N13" s="121" t="s">
        <v>158</v>
      </c>
      <c r="O13" s="123" t="s">
        <v>208</v>
      </c>
      <c r="P13" s="121" t="s">
        <v>158</v>
      </c>
      <c r="Q13" s="441"/>
    </row>
    <row r="14" spans="1:17" s="118" customFormat="1" ht="30">
      <c r="A14" s="189" t="s">
        <v>210</v>
      </c>
      <c r="B14" s="161" t="s">
        <v>211</v>
      </c>
      <c r="C14" s="152" t="s">
        <v>212</v>
      </c>
      <c r="D14" s="153" t="s">
        <v>145</v>
      </c>
      <c r="E14" s="162">
        <v>37000</v>
      </c>
      <c r="F14" s="162"/>
      <c r="G14" s="162"/>
      <c r="H14" s="155">
        <f>SUM(E14:G14)</f>
        <v>37000</v>
      </c>
      <c r="I14" s="121"/>
      <c r="J14" s="163">
        <v>37000</v>
      </c>
      <c r="K14" s="115" t="s">
        <v>207</v>
      </c>
      <c r="L14" s="115" t="s">
        <v>177</v>
      </c>
      <c r="M14" s="163">
        <v>0</v>
      </c>
      <c r="N14" s="121" t="s">
        <v>158</v>
      </c>
      <c r="O14" s="123" t="s">
        <v>208</v>
      </c>
      <c r="P14" s="456" t="s">
        <v>158</v>
      </c>
      <c r="Q14" s="441"/>
    </row>
    <row r="15" spans="1:17" s="118" customFormat="1" ht="20.25" customHeight="1">
      <c r="A15" s="189" t="s">
        <v>213</v>
      </c>
      <c r="B15" s="161" t="s">
        <v>214</v>
      </c>
      <c r="C15" s="152" t="s">
        <v>551</v>
      </c>
      <c r="D15" s="153" t="s">
        <v>145</v>
      </c>
      <c r="E15" s="162">
        <v>15000</v>
      </c>
      <c r="F15" s="162"/>
      <c r="G15" s="162"/>
      <c r="H15" s="155">
        <f t="shared" ref="H15:H23" si="1">SUM(E15:G15)</f>
        <v>15000</v>
      </c>
      <c r="I15" s="121"/>
      <c r="J15" s="163">
        <v>15000</v>
      </c>
      <c r="K15" s="115"/>
      <c r="L15" s="115" t="s">
        <v>216</v>
      </c>
      <c r="M15" s="163">
        <v>28900</v>
      </c>
      <c r="N15" s="121" t="s">
        <v>158</v>
      </c>
      <c r="O15" s="123" t="s">
        <v>217</v>
      </c>
      <c r="P15" s="121" t="s">
        <v>158</v>
      </c>
      <c r="Q15" s="441"/>
    </row>
    <row r="16" spans="1:17" s="483" customFormat="1" ht="30" hidden="1">
      <c r="A16" s="471" t="s">
        <v>218</v>
      </c>
      <c r="B16" s="472" t="s">
        <v>214</v>
      </c>
      <c r="C16" s="473" t="s">
        <v>268</v>
      </c>
      <c r="D16" s="474" t="s">
        <v>145</v>
      </c>
      <c r="E16" s="475"/>
      <c r="F16" s="475"/>
      <c r="G16" s="475"/>
      <c r="H16" s="476">
        <f t="shared" si="1"/>
        <v>0</v>
      </c>
      <c r="I16" s="477"/>
      <c r="J16" s="478">
        <v>5100</v>
      </c>
      <c r="K16" s="479"/>
      <c r="L16" s="479" t="s">
        <v>216</v>
      </c>
      <c r="M16" s="480">
        <v>0</v>
      </c>
      <c r="N16" s="477" t="s">
        <v>158</v>
      </c>
      <c r="O16" s="481" t="s">
        <v>219</v>
      </c>
      <c r="P16" s="482" t="s">
        <v>153</v>
      </c>
    </row>
    <row r="17" spans="1:17" s="118" customFormat="1" ht="30">
      <c r="A17" s="189" t="s">
        <v>218</v>
      </c>
      <c r="B17" s="161" t="s">
        <v>214</v>
      </c>
      <c r="C17" s="152" t="s">
        <v>476</v>
      </c>
      <c r="D17" s="153" t="s">
        <v>145</v>
      </c>
      <c r="E17" s="162">
        <v>2200</v>
      </c>
      <c r="F17" s="162"/>
      <c r="G17" s="162"/>
      <c r="H17" s="155">
        <f t="shared" si="1"/>
        <v>2200</v>
      </c>
      <c r="I17" s="121"/>
      <c r="J17" s="163">
        <v>2200</v>
      </c>
      <c r="K17" s="115"/>
      <c r="L17" s="115" t="s">
        <v>216</v>
      </c>
      <c r="M17" s="159">
        <v>0</v>
      </c>
      <c r="N17" s="121" t="s">
        <v>158</v>
      </c>
      <c r="O17" s="123" t="s">
        <v>219</v>
      </c>
      <c r="P17" s="456" t="s">
        <v>158</v>
      </c>
      <c r="Q17" s="441"/>
    </row>
    <row r="18" spans="1:17" s="118" customFormat="1" ht="30">
      <c r="A18" s="189" t="s">
        <v>220</v>
      </c>
      <c r="B18" s="161" t="s">
        <v>214</v>
      </c>
      <c r="C18" s="152" t="s">
        <v>477</v>
      </c>
      <c r="D18" s="153" t="s">
        <v>145</v>
      </c>
      <c r="E18" s="162">
        <v>83500</v>
      </c>
      <c r="F18" s="162"/>
      <c r="G18" s="162"/>
      <c r="H18" s="155">
        <f t="shared" si="1"/>
        <v>83500</v>
      </c>
      <c r="I18" s="121"/>
      <c r="J18" s="163">
        <v>83500</v>
      </c>
      <c r="K18" s="115"/>
      <c r="L18" s="115" t="s">
        <v>216</v>
      </c>
      <c r="M18" s="163">
        <v>0</v>
      </c>
      <c r="N18" s="121" t="s">
        <v>158</v>
      </c>
      <c r="O18" s="123" t="s">
        <v>221</v>
      </c>
      <c r="P18" s="121" t="s">
        <v>158</v>
      </c>
      <c r="Q18" s="441"/>
    </row>
    <row r="19" spans="1:17" s="118" customFormat="1" ht="30">
      <c r="A19" s="192">
        <v>50032</v>
      </c>
      <c r="B19" s="161" t="s">
        <v>222</v>
      </c>
      <c r="C19" s="152" t="s">
        <v>223</v>
      </c>
      <c r="D19" s="153" t="s">
        <v>145</v>
      </c>
      <c r="E19" s="162">
        <f>26775+25</f>
        <v>26800</v>
      </c>
      <c r="F19" s="162"/>
      <c r="G19" s="162"/>
      <c r="H19" s="155">
        <f t="shared" si="1"/>
        <v>26800</v>
      </c>
      <c r="I19" s="121"/>
      <c r="J19" s="163">
        <v>25800</v>
      </c>
      <c r="K19" s="115"/>
      <c r="L19" s="115" t="s">
        <v>216</v>
      </c>
      <c r="M19" s="163">
        <v>0</v>
      </c>
      <c r="N19" s="121" t="s">
        <v>158</v>
      </c>
      <c r="O19" s="123" t="s">
        <v>221</v>
      </c>
      <c r="P19" s="456" t="s">
        <v>158</v>
      </c>
      <c r="Q19" s="441"/>
    </row>
    <row r="20" spans="1:17" s="118" customFormat="1" ht="30">
      <c r="A20" s="189" t="s">
        <v>224</v>
      </c>
      <c r="B20" s="161" t="s">
        <v>214</v>
      </c>
      <c r="C20" s="152" t="s">
        <v>478</v>
      </c>
      <c r="D20" s="153" t="s">
        <v>145</v>
      </c>
      <c r="E20" s="162">
        <v>5300</v>
      </c>
      <c r="F20" s="162"/>
      <c r="G20" s="162"/>
      <c r="H20" s="155">
        <f t="shared" si="1"/>
        <v>5300</v>
      </c>
      <c r="I20" s="121"/>
      <c r="J20" s="163">
        <v>5300</v>
      </c>
      <c r="K20" s="115"/>
      <c r="L20" s="115" t="s">
        <v>216</v>
      </c>
      <c r="M20" s="163">
        <v>0</v>
      </c>
      <c r="N20" s="121" t="s">
        <v>158</v>
      </c>
      <c r="O20" s="123" t="s">
        <v>145</v>
      </c>
      <c r="P20" s="121" t="s">
        <v>158</v>
      </c>
      <c r="Q20" s="441"/>
    </row>
    <row r="21" spans="1:17" s="118" customFormat="1" ht="30">
      <c r="A21" s="189" t="s">
        <v>225</v>
      </c>
      <c r="B21" s="161" t="s">
        <v>214</v>
      </c>
      <c r="C21" s="152" t="s">
        <v>479</v>
      </c>
      <c r="D21" s="153" t="s">
        <v>145</v>
      </c>
      <c r="E21" s="162">
        <v>60000</v>
      </c>
      <c r="F21" s="162"/>
      <c r="G21" s="162"/>
      <c r="H21" s="155">
        <f t="shared" si="1"/>
        <v>60000</v>
      </c>
      <c r="I21" s="121"/>
      <c r="J21" s="163">
        <v>60000</v>
      </c>
      <c r="K21" s="115"/>
      <c r="L21" s="115" t="s">
        <v>216</v>
      </c>
      <c r="M21" s="163">
        <v>0</v>
      </c>
      <c r="N21" s="121" t="s">
        <v>158</v>
      </c>
      <c r="O21" s="123" t="s">
        <v>219</v>
      </c>
      <c r="P21" s="456" t="s">
        <v>158</v>
      </c>
      <c r="Q21" s="441"/>
    </row>
    <row r="22" spans="1:17" s="118" customFormat="1" ht="30">
      <c r="A22" s="189" t="s">
        <v>226</v>
      </c>
      <c r="B22" s="161" t="s">
        <v>214</v>
      </c>
      <c r="C22" s="152" t="s">
        <v>480</v>
      </c>
      <c r="D22" s="153" t="s">
        <v>145</v>
      </c>
      <c r="E22" s="162">
        <f>10182+18</f>
        <v>10200</v>
      </c>
      <c r="F22" s="162"/>
      <c r="G22" s="162"/>
      <c r="H22" s="155">
        <f t="shared" si="1"/>
        <v>10200</v>
      </c>
      <c r="I22" s="121"/>
      <c r="J22" s="163">
        <v>10100</v>
      </c>
      <c r="K22" s="115"/>
      <c r="L22" s="115" t="s">
        <v>216</v>
      </c>
      <c r="M22" s="163">
        <v>0</v>
      </c>
      <c r="N22" s="121" t="s">
        <v>158</v>
      </c>
      <c r="O22" s="123" t="s">
        <v>219</v>
      </c>
      <c r="P22" s="121" t="s">
        <v>158</v>
      </c>
      <c r="Q22" s="441"/>
    </row>
    <row r="23" spans="1:17" s="118" customFormat="1" ht="30">
      <c r="A23" s="189" t="s">
        <v>227</v>
      </c>
      <c r="B23" s="161" t="s">
        <v>214</v>
      </c>
      <c r="C23" s="152" t="s">
        <v>481</v>
      </c>
      <c r="D23" s="153" t="s">
        <v>145</v>
      </c>
      <c r="E23" s="162">
        <v>20000</v>
      </c>
      <c r="F23" s="162">
        <v>5000</v>
      </c>
      <c r="G23" s="162"/>
      <c r="H23" s="155">
        <f t="shared" si="1"/>
        <v>25000</v>
      </c>
      <c r="I23" s="121"/>
      <c r="J23" s="163">
        <v>25000</v>
      </c>
      <c r="K23" s="115"/>
      <c r="L23" s="115" t="s">
        <v>216</v>
      </c>
      <c r="M23" s="163">
        <v>0</v>
      </c>
      <c r="N23" s="121" t="s">
        <v>158</v>
      </c>
      <c r="O23" s="123" t="s">
        <v>219</v>
      </c>
      <c r="P23" s="456" t="s">
        <v>158</v>
      </c>
      <c r="Q23" s="441"/>
    </row>
    <row r="24" spans="1:17">
      <c r="H24" s="51"/>
      <c r="J24" s="51"/>
      <c r="M24" s="145"/>
      <c r="N24" s="146"/>
      <c r="O24" s="147"/>
      <c r="P24" s="455"/>
    </row>
    <row r="25" spans="1:17">
      <c r="H25" s="51"/>
      <c r="J25" s="51"/>
      <c r="M25" s="145"/>
      <c r="N25" s="146"/>
      <c r="O25" s="147"/>
      <c r="P25" s="455"/>
    </row>
    <row r="26" spans="1:17">
      <c r="H26" s="51"/>
      <c r="J26" s="51"/>
      <c r="M26" s="145"/>
      <c r="N26" s="146"/>
      <c r="O26" s="147"/>
      <c r="P26" s="455"/>
    </row>
    <row r="27" spans="1:17">
      <c r="H27" s="51"/>
      <c r="J27" s="51"/>
      <c r="M27" s="145"/>
      <c r="N27" s="146"/>
      <c r="O27" s="147"/>
      <c r="P27" s="455"/>
    </row>
    <row r="28" spans="1:17">
      <c r="H28" s="51"/>
      <c r="J28" s="51"/>
      <c r="M28" s="145"/>
      <c r="N28" s="146"/>
      <c r="O28" s="147"/>
      <c r="P28" s="455"/>
    </row>
    <row r="29" spans="1:17">
      <c r="H29" s="51"/>
      <c r="J29" s="51"/>
      <c r="M29" s="145"/>
      <c r="N29" s="146"/>
      <c r="O29" s="147"/>
      <c r="P29" s="455"/>
    </row>
    <row r="30" spans="1:17">
      <c r="H30" s="51"/>
      <c r="J30" s="51"/>
      <c r="M30" s="51"/>
      <c r="N30" s="146"/>
      <c r="O30" s="147"/>
      <c r="P30" s="455"/>
    </row>
    <row r="31" spans="1:17">
      <c r="H31" s="51"/>
      <c r="J31" s="51"/>
      <c r="M31" s="51"/>
      <c r="N31" s="146"/>
      <c r="O31" s="147"/>
      <c r="P31" s="455"/>
    </row>
    <row r="32" spans="1:17">
      <c r="H32" s="51"/>
      <c r="J32" s="51"/>
      <c r="M32" s="51"/>
      <c r="N32" s="146"/>
      <c r="O32" s="147"/>
      <c r="P32" s="455"/>
    </row>
  </sheetData>
  <mergeCells count="5">
    <mergeCell ref="D3:D5"/>
    <mergeCell ref="E3:G3"/>
    <mergeCell ref="J3:J4"/>
    <mergeCell ref="M3:M4"/>
    <mergeCell ref="O3:O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&amp;R&amp;"Arial,Bold"&amp;12APPENDIX B [2]</oddHeader>
    <oddFooter>&amp;C&amp;"Arial,Bold"&amp;12&amp;A</oddFooter>
  </headerFooter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Appendix B</vt:lpstr>
      <vt:lpstr>23</vt:lpstr>
      <vt:lpstr>24</vt:lpstr>
      <vt:lpstr>Appendix C</vt:lpstr>
      <vt:lpstr>'14'!Print_Area</vt:lpstr>
      <vt:lpstr>'15'!Print_Area</vt:lpstr>
      <vt:lpstr>'16'!Print_Area</vt:lpstr>
      <vt:lpstr>'17'!Print_Area</vt:lpstr>
      <vt:lpstr>'19'!Print_Area</vt:lpstr>
      <vt:lpstr>'21'!Print_Area</vt:lpstr>
      <vt:lpstr>'22'!Print_Area</vt:lpstr>
      <vt:lpstr>'20'!Print_Titles</vt:lpstr>
      <vt:lpstr>'Appendix B'!Print_Titles</vt:lpstr>
    </vt:vector>
  </TitlesOfParts>
  <Company>Carlisle City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BBC NEWS | England | Manchester | Man Utd fans given Rome warning</dc:title>
  <dc:creator>JackieGr</dc:creator>
  <cp:lastModifiedBy>RachelR</cp:lastModifiedBy>
  <cp:lastPrinted>2010-06-07T10:45:07Z</cp:lastPrinted>
  <dcterms:created xsi:type="dcterms:W3CDTF">2004-06-24T11:16:49Z</dcterms:created>
  <dcterms:modified xsi:type="dcterms:W3CDTF">2010-06-07T10:45:36Z</dcterms:modified>
</cp:coreProperties>
</file>