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0" yWindow="180" windowWidth="15450" windowHeight="5835" tabRatio="599"/>
  </bookViews>
  <sheets>
    <sheet name="11" sheetId="25" r:id="rId1"/>
    <sheet name="DCE SD A2" sheetId="47" state="hidden" r:id="rId2"/>
    <sheet name="12" sheetId="48" r:id="rId3"/>
    <sheet name="13" sheetId="49" r:id="rId4"/>
    <sheet name="SD A5" sheetId="50" state="hidden" r:id="rId5"/>
    <sheet name="14" sheetId="51" r:id="rId6"/>
    <sheet name="15" sheetId="52" r:id="rId7"/>
    <sheet name="16" sheetId="53" r:id="rId8"/>
    <sheet name="Appendix B" sheetId="54" r:id="rId9"/>
    <sheet name="cfwds" sheetId="44" state="hidden" r:id="rId10"/>
    <sheet name="totals" sheetId="55" state="hidden" r:id="rId11"/>
  </sheets>
  <externalReferences>
    <externalReference r:id="rId12"/>
  </externalReferences>
  <definedNames>
    <definedName name="_xlnm.Print_Area" localSheetId="9">cfwds!$B$1:$P$79</definedName>
  </definedNames>
  <calcPr calcId="125725"/>
</workbook>
</file>

<file path=xl/calcChain.xml><?xml version="1.0" encoding="utf-8"?>
<calcChain xmlns="http://schemas.openxmlformats.org/spreadsheetml/2006/main">
  <c r="E23" i="49"/>
  <c r="F23" s="1"/>
  <c r="H38" i="54" l="1"/>
  <c r="F38"/>
  <c r="E38"/>
  <c r="D38"/>
  <c r="G36"/>
  <c r="G35"/>
  <c r="G32"/>
  <c r="G31"/>
  <c r="G30"/>
  <c r="G29"/>
  <c r="G28"/>
  <c r="G27"/>
  <c r="H25"/>
  <c r="H40" s="1"/>
  <c r="F25"/>
  <c r="F40" s="1"/>
  <c r="G8" s="1"/>
  <c r="H8" s="1"/>
  <c r="E25"/>
  <c r="E40" s="1"/>
  <c r="G7" s="1"/>
  <c r="H7" s="1"/>
  <c r="D25"/>
  <c r="D40" s="1"/>
  <c r="G6" s="1"/>
  <c r="H6" s="1"/>
  <c r="G23"/>
  <c r="G22"/>
  <c r="G21"/>
  <c r="G20"/>
  <c r="G19"/>
  <c r="G18"/>
  <c r="G17"/>
  <c r="G16"/>
  <c r="G15"/>
  <c r="G14"/>
  <c r="C8"/>
  <c r="C7"/>
  <c r="C6"/>
  <c r="D32" i="53"/>
  <c r="F32"/>
  <c r="G38" i="54" l="1"/>
  <c r="G25"/>
  <c r="D23" i="53"/>
  <c r="D30"/>
  <c r="E29"/>
  <c r="D29"/>
  <c r="G40" i="54" l="1"/>
  <c r="E33" i="53"/>
  <c r="F28"/>
  <c r="E27"/>
  <c r="E23"/>
  <c r="D26" i="55"/>
  <c r="D25"/>
  <c r="C11"/>
  <c r="B10"/>
  <c r="B22"/>
  <c r="C7"/>
  <c r="C26"/>
  <c r="B11"/>
  <c r="D22"/>
  <c r="D6"/>
  <c r="H12"/>
  <c r="C25"/>
  <c r="B24"/>
  <c r="D23"/>
  <c r="C9"/>
  <c r="B8"/>
  <c r="D7"/>
  <c r="G6"/>
  <c r="H5"/>
  <c r="B26"/>
  <c r="B25"/>
  <c r="D24"/>
  <c r="C10"/>
  <c r="B9"/>
  <c r="D8"/>
  <c r="G7"/>
  <c r="G5"/>
  <c r="F7"/>
  <c r="C19"/>
  <c r="C24"/>
  <c r="C20"/>
  <c r="G12"/>
  <c r="F11"/>
  <c r="H10"/>
  <c r="C23"/>
  <c r="D21"/>
  <c r="B6"/>
  <c r="C12"/>
  <c r="D10"/>
  <c r="H7"/>
  <c r="F5"/>
  <c r="B12"/>
  <c r="D11"/>
  <c r="G10"/>
  <c r="F9"/>
  <c r="H8"/>
  <c r="C21"/>
  <c r="B20"/>
  <c r="D19"/>
  <c r="B5"/>
  <c r="D12"/>
  <c r="G11"/>
  <c r="F10"/>
  <c r="H9"/>
  <c r="C22"/>
  <c r="B21"/>
  <c r="D20"/>
  <c r="C6"/>
  <c r="D5"/>
  <c r="G8"/>
  <c r="H6"/>
  <c r="C5"/>
  <c r="H11"/>
  <c r="B23"/>
  <c r="F8"/>
  <c r="B7"/>
  <c r="B19"/>
  <c r="F6"/>
  <c r="D9"/>
  <c r="F12"/>
  <c r="G9"/>
  <c r="C8"/>
  <c r="E9" i="49" l="1"/>
  <c r="D11"/>
  <c r="E11"/>
  <c r="E12"/>
  <c r="F11"/>
  <c r="F9"/>
  <c r="D9"/>
  <c r="F12"/>
  <c r="D12"/>
  <c r="D9" i="25"/>
  <c r="E5" i="55"/>
  <c r="B13"/>
  <c r="B16" s="1"/>
  <c r="F9" i="25"/>
  <c r="D13" i="55"/>
  <c r="D16" s="1"/>
  <c r="E9" i="25"/>
  <c r="C13" i="55"/>
  <c r="C16" s="1"/>
  <c r="D11" i="25"/>
  <c r="I5" i="55"/>
  <c r="F13"/>
  <c r="F16" s="1"/>
  <c r="F11" i="25"/>
  <c r="H13" i="55"/>
  <c r="H16" s="1"/>
  <c r="E11" i="25"/>
  <c r="G13" i="55"/>
  <c r="G16" s="1"/>
  <c r="E12" i="25"/>
  <c r="C27" i="55"/>
  <c r="C30" s="1"/>
  <c r="D12" i="25"/>
  <c r="E19" i="55"/>
  <c r="B27"/>
  <c r="B30" s="1"/>
  <c r="F12" i="25"/>
  <c r="D27" i="55"/>
  <c r="D30" s="1"/>
  <c r="E9" i="47"/>
  <c r="D9"/>
  <c r="E6" i="55"/>
  <c r="F9" i="47"/>
  <c r="E11"/>
  <c r="D11"/>
  <c r="I6" i="55"/>
  <c r="F11" i="47"/>
  <c r="E12"/>
  <c r="D12"/>
  <c r="E20" i="55"/>
  <c r="F12" i="47"/>
  <c r="E9" i="48"/>
  <c r="D9"/>
  <c r="E7" i="55"/>
  <c r="F9" i="48"/>
  <c r="E11"/>
  <c r="D11"/>
  <c r="I7" i="55"/>
  <c r="F11" i="48"/>
  <c r="E12"/>
  <c r="D12"/>
  <c r="E21" i="55"/>
  <c r="F12" i="48"/>
  <c r="E8" i="55"/>
  <c r="I8"/>
  <c r="E22"/>
  <c r="E9" i="50"/>
  <c r="D9"/>
  <c r="E9" i="55"/>
  <c r="F9" i="50"/>
  <c r="E11"/>
  <c r="D11"/>
  <c r="I9" i="55"/>
  <c r="F11" i="50"/>
  <c r="E12"/>
  <c r="D12"/>
  <c r="E23" i="55"/>
  <c r="F12" i="50"/>
  <c r="E9" i="51"/>
  <c r="D9"/>
  <c r="E10" i="55"/>
  <c r="F9" i="51"/>
  <c r="E11"/>
  <c r="D11"/>
  <c r="I10" i="55"/>
  <c r="F11" i="51"/>
  <c r="E12"/>
  <c r="D12"/>
  <c r="E24" i="55"/>
  <c r="F12" i="51"/>
  <c r="E9" i="52"/>
  <c r="D9"/>
  <c r="E11" i="55"/>
  <c r="F9" i="52"/>
  <c r="E11"/>
  <c r="D11"/>
  <c r="I11" i="55"/>
  <c r="F11" i="52"/>
  <c r="E12"/>
  <c r="D12"/>
  <c r="E25" i="55"/>
  <c r="F12" i="52"/>
  <c r="E9" i="53"/>
  <c r="D9"/>
  <c r="E12" i="55"/>
  <c r="F9" i="53"/>
  <c r="E11"/>
  <c r="D11"/>
  <c r="I12" i="55"/>
  <c r="F26" s="1"/>
  <c r="F11" i="53"/>
  <c r="D12"/>
  <c r="E26" i="55"/>
  <c r="F12" i="53"/>
  <c r="E12"/>
  <c r="E25" i="52"/>
  <c r="E26" i="51"/>
  <c r="E25"/>
  <c r="E23" i="50"/>
  <c r="F30" i="49"/>
  <c r="E26"/>
  <c r="D26"/>
  <c r="E28"/>
  <c r="D28"/>
  <c r="D27"/>
  <c r="E27"/>
  <c r="F24" i="55" l="1"/>
  <c r="F21"/>
  <c r="F25"/>
  <c r="F23"/>
  <c r="F22"/>
  <c r="I13"/>
  <c r="I16" s="1"/>
  <c r="F19"/>
  <c r="E27"/>
  <c r="E30" s="1"/>
  <c r="F20"/>
  <c r="E13"/>
  <c r="E16" s="1"/>
  <c r="F27" l="1"/>
  <c r="F30" s="1"/>
  <c r="F29" i="53"/>
  <c r="F33"/>
  <c r="F27"/>
  <c r="F25"/>
  <c r="F31"/>
  <c r="F30"/>
  <c r="F24"/>
  <c r="F25" i="52"/>
  <c r="F24"/>
  <c r="F23"/>
  <c r="F26" i="53" l="1"/>
  <c r="F27" i="51"/>
  <c r="F26"/>
  <c r="F25"/>
  <c r="F24"/>
  <c r="F29" i="49"/>
  <c r="F27"/>
  <c r="F26"/>
  <c r="F28" l="1"/>
  <c r="F25"/>
  <c r="F23" i="48"/>
  <c r="F23" i="53"/>
  <c r="F23" i="51"/>
  <c r="F23" i="50"/>
  <c r="F24" i="49"/>
  <c r="F23" i="47"/>
  <c r="F14" i="53" l="1"/>
  <c r="E14"/>
  <c r="D14"/>
  <c r="D35" s="1"/>
  <c r="G12"/>
  <c r="G11"/>
  <c r="G9"/>
  <c r="F14" i="52"/>
  <c r="E14"/>
  <c r="D14"/>
  <c r="D27" s="1"/>
  <c r="G12"/>
  <c r="G11"/>
  <c r="G9"/>
  <c r="F14" i="51"/>
  <c r="E14"/>
  <c r="D14"/>
  <c r="D29" s="1"/>
  <c r="G12"/>
  <c r="G11"/>
  <c r="G9"/>
  <c r="F14" i="50"/>
  <c r="E14"/>
  <c r="D14"/>
  <c r="D25" s="1"/>
  <c r="G12"/>
  <c r="G11"/>
  <c r="G9"/>
  <c r="F14" i="49"/>
  <c r="E14"/>
  <c r="D14"/>
  <c r="D32" s="1"/>
  <c r="D34" s="1"/>
  <c r="G12"/>
  <c r="G11"/>
  <c r="G9"/>
  <c r="F14" i="48"/>
  <c r="E14"/>
  <c r="D14"/>
  <c r="D25" s="1"/>
  <c r="D27" s="1"/>
  <c r="G12"/>
  <c r="G11"/>
  <c r="G9"/>
  <c r="F14" i="47"/>
  <c r="E14"/>
  <c r="D14"/>
  <c r="D25" s="1"/>
  <c r="D27" s="1"/>
  <c r="G12"/>
  <c r="G11"/>
  <c r="G9"/>
  <c r="F14" i="25"/>
  <c r="E14"/>
  <c r="D14"/>
  <c r="D25" s="1"/>
  <c r="G11"/>
  <c r="E25" l="1"/>
  <c r="E25" i="47"/>
  <c r="E27" s="1"/>
  <c r="E32" i="49"/>
  <c r="E34" s="1"/>
  <c r="E25" i="50"/>
  <c r="E27" s="1"/>
  <c r="E29" i="51"/>
  <c r="E31" s="1"/>
  <c r="E27" i="52"/>
  <c r="E29" s="1"/>
  <c r="E25" i="48"/>
  <c r="E27" s="1"/>
  <c r="E35" i="53"/>
  <c r="E37" s="1"/>
  <c r="F25" i="25"/>
  <c r="D37" i="53"/>
  <c r="G14"/>
  <c r="D29" i="52"/>
  <c r="G14"/>
  <c r="D31" i="51"/>
  <c r="F29"/>
  <c r="F31" s="1"/>
  <c r="G14"/>
  <c r="D27" i="50"/>
  <c r="G14"/>
  <c r="F32" i="49"/>
  <c r="F34" s="1"/>
  <c r="G14"/>
  <c r="F25" i="48"/>
  <c r="F27" s="1"/>
  <c r="G14"/>
  <c r="G14" i="47"/>
  <c r="F25" l="1"/>
  <c r="F27" s="1"/>
  <c r="F25" i="50"/>
  <c r="F27" s="1"/>
  <c r="F27" i="52"/>
  <c r="F29" s="1"/>
  <c r="F35" i="53"/>
  <c r="F37" s="1"/>
  <c r="H7" i="44"/>
  <c r="H8"/>
  <c r="H9"/>
  <c r="H10"/>
  <c r="H11"/>
  <c r="H12"/>
  <c r="H13"/>
  <c r="E14"/>
  <c r="F14"/>
  <c r="G14"/>
  <c r="H14"/>
  <c r="E15"/>
  <c r="F15"/>
  <c r="G15"/>
  <c r="H15"/>
  <c r="J15"/>
  <c r="M15"/>
  <c r="H17"/>
  <c r="E18"/>
  <c r="H18" s="1"/>
  <c r="E19"/>
  <c r="H19" s="1"/>
  <c r="H20"/>
  <c r="F21"/>
  <c r="G21"/>
  <c r="J21"/>
  <c r="M21"/>
  <c r="H22"/>
  <c r="H23"/>
  <c r="E24"/>
  <c r="H24"/>
  <c r="E25"/>
  <c r="H25"/>
  <c r="E26"/>
  <c r="H26"/>
  <c r="H27"/>
  <c r="E28"/>
  <c r="H28" s="1"/>
  <c r="E29"/>
  <c r="H29" s="1"/>
  <c r="H30"/>
  <c r="H31"/>
  <c r="F32"/>
  <c r="G32"/>
  <c r="J32"/>
  <c r="M32"/>
  <c r="H34"/>
  <c r="M34"/>
  <c r="F35"/>
  <c r="F38" s="1"/>
  <c r="G35"/>
  <c r="H35"/>
  <c r="M35"/>
  <c r="H36"/>
  <c r="H37"/>
  <c r="E38"/>
  <c r="G38"/>
  <c r="J38"/>
  <c r="M38"/>
  <c r="H40"/>
  <c r="H41"/>
  <c r="H42"/>
  <c r="H43"/>
  <c r="H44"/>
  <c r="E45"/>
  <c r="H45" s="1"/>
  <c r="H46"/>
  <c r="H47"/>
  <c r="E48"/>
  <c r="H48" s="1"/>
  <c r="H49"/>
  <c r="B85"/>
  <c r="M73"/>
  <c r="J73"/>
  <c r="G73"/>
  <c r="F73"/>
  <c r="E73"/>
  <c r="H72"/>
  <c r="H71"/>
  <c r="M69"/>
  <c r="J69"/>
  <c r="G69"/>
  <c r="F69"/>
  <c r="E69"/>
  <c r="H68"/>
  <c r="H67"/>
  <c r="H69" s="1"/>
  <c r="J64"/>
  <c r="H64"/>
  <c r="M63"/>
  <c r="J63"/>
  <c r="G63"/>
  <c r="F63"/>
  <c r="E63"/>
  <c r="H62"/>
  <c r="H61"/>
  <c r="H60"/>
  <c r="H59"/>
  <c r="H58"/>
  <c r="H63" s="1"/>
  <c r="J57"/>
  <c r="H57"/>
  <c r="M56"/>
  <c r="M65" s="1"/>
  <c r="J56"/>
  <c r="J78" s="1"/>
  <c r="G56"/>
  <c r="G65" s="1"/>
  <c r="F56"/>
  <c r="F65" s="1"/>
  <c r="E56"/>
  <c r="H55"/>
  <c r="H54"/>
  <c r="H53"/>
  <c r="H52"/>
  <c r="E51"/>
  <c r="H51" s="1"/>
  <c r="H50"/>
  <c r="E65"/>
  <c r="J77"/>
  <c r="H21" l="1"/>
  <c r="H38"/>
  <c r="H32"/>
  <c r="E21"/>
  <c r="E32" s="1"/>
  <c r="H56"/>
  <c r="H65" s="1"/>
  <c r="H73"/>
  <c r="H77"/>
  <c r="G74"/>
  <c r="M74"/>
  <c r="E74"/>
  <c r="F74"/>
  <c r="J65"/>
  <c r="J74" s="1"/>
  <c r="G12" i="25"/>
  <c r="G14" s="1"/>
  <c r="G9"/>
  <c r="H74" i="44" l="1"/>
  <c r="H78"/>
  <c r="F23" i="25" l="1"/>
  <c r="D27"/>
  <c r="E27"/>
  <c r="F27" l="1"/>
</calcChain>
</file>

<file path=xl/sharedStrings.xml><?xml version="1.0" encoding="utf-8"?>
<sst xmlns="http://schemas.openxmlformats.org/spreadsheetml/2006/main" count="890" uniqueCount="374">
  <si>
    <t>Total</t>
  </si>
  <si>
    <t>Note</t>
  </si>
  <si>
    <t>Annual Budget</t>
  </si>
  <si>
    <t>Total Variance to date</t>
  </si>
  <si>
    <t xml:space="preserve"> </t>
  </si>
  <si>
    <t>£</t>
  </si>
  <si>
    <t>Expenditure</t>
  </si>
  <si>
    <t>Variance</t>
  </si>
  <si>
    <t>DEVELOPMENT SERVICES</t>
  </si>
  <si>
    <t>CORPORATE SERVICES</t>
  </si>
  <si>
    <t xml:space="preserve">Service </t>
  </si>
  <si>
    <t>COMMUNITY SERVICES</t>
  </si>
  <si>
    <t>APPENDIX A1</t>
  </si>
  <si>
    <t>APPENDIX A3</t>
  </si>
  <si>
    <t>APPENDIX A4</t>
  </si>
  <si>
    <t>APPENDIX A5</t>
  </si>
  <si>
    <t>APPENDIX A6</t>
  </si>
  <si>
    <t>CARLISLE RENAISSANCE</t>
  </si>
  <si>
    <t>Gross</t>
  </si>
  <si>
    <t>Income</t>
  </si>
  <si>
    <t>Recharges</t>
  </si>
  <si>
    <t>Tullie House</t>
  </si>
  <si>
    <t>Town Twinning</t>
  </si>
  <si>
    <t>Affordable Housing</t>
  </si>
  <si>
    <t>Food Safety</t>
  </si>
  <si>
    <t>Parking</t>
  </si>
  <si>
    <t xml:space="preserve">Total </t>
  </si>
  <si>
    <t>Energy Efficiency Advice Centre</t>
  </si>
  <si>
    <t>Land Charges</t>
  </si>
  <si>
    <t>Total Actual</t>
  </si>
  <si>
    <t>LABGI</t>
  </si>
  <si>
    <t>Development Control</t>
  </si>
  <si>
    <t>Garage</t>
  </si>
  <si>
    <t>Land Drainage</t>
  </si>
  <si>
    <t>CODE</t>
  </si>
  <si>
    <t>DESCRIPTION</t>
  </si>
  <si>
    <t>12857/1081/67001</t>
  </si>
  <si>
    <t>38910/3712</t>
  </si>
  <si>
    <t>22210/3430</t>
  </si>
  <si>
    <t>PEOPLE, POLICY &amp; PERFORMANCE</t>
  </si>
  <si>
    <t>Requests</t>
  </si>
  <si>
    <t>37011/3897</t>
  </si>
  <si>
    <t>12857/1081</t>
  </si>
  <si>
    <t>Small Scale Community Projects</t>
  </si>
  <si>
    <t>15010/4017/53003</t>
  </si>
  <si>
    <t>25701/0897/62052</t>
  </si>
  <si>
    <t>35020/0897/72002</t>
  </si>
  <si>
    <t>ICT Shared Service</t>
  </si>
  <si>
    <t>Electoral Registration</t>
  </si>
  <si>
    <t>Shared Service income (Revs &amp; Bens Management Copeland)</t>
  </si>
  <si>
    <t>Same service by different provider. TUPE Transfer</t>
  </si>
  <si>
    <t>Review Operation of TIC</t>
  </si>
  <si>
    <t>Printing &amp; Copying Review</t>
  </si>
  <si>
    <t>Renewals Reserve Savings</t>
  </si>
  <si>
    <t>Alternative method of financing required</t>
  </si>
  <si>
    <t>Conference Group</t>
  </si>
  <si>
    <t>Through revised working practices aims to be self funding</t>
  </si>
  <si>
    <t>Stores</t>
  </si>
  <si>
    <t>Based on 5% of 2008/09 Budget = (£48,600+ £96,400)</t>
  </si>
  <si>
    <t>Customer Services</t>
  </si>
  <si>
    <t>Based on September 2008 Business Case</t>
  </si>
  <si>
    <t>ICT Shared Service - Capital Expenditure</t>
  </si>
  <si>
    <t>Sport &amp; Recreation</t>
  </si>
  <si>
    <t>2009/10 REVENUE CARRY FORWARD REQUESTS</t>
  </si>
  <si>
    <t>Form signed by Assistant Director / Strategic Director</t>
  </si>
  <si>
    <t>Budget Carried forward at end of 2008/09</t>
  </si>
  <si>
    <t>Category (Note 1)</t>
  </si>
  <si>
    <t>Evidence provided of carry forward</t>
  </si>
  <si>
    <t>SECTION</t>
  </si>
  <si>
    <t>2010/11</t>
  </si>
  <si>
    <t>2011/12</t>
  </si>
  <si>
    <t>2012/13</t>
  </si>
  <si>
    <t>Portfolio Holder</t>
  </si>
  <si>
    <t>Assistant Director</t>
  </si>
  <si>
    <t>37011/0897</t>
  </si>
  <si>
    <t>37011/2502</t>
  </si>
  <si>
    <t>37011/3107</t>
  </si>
  <si>
    <t>37011/3302</t>
  </si>
  <si>
    <t>37011/3421</t>
  </si>
  <si>
    <t>37011/3430</t>
  </si>
  <si>
    <t>Yes</t>
  </si>
  <si>
    <t>?</t>
  </si>
  <si>
    <t>29010/3417</t>
  </si>
  <si>
    <t>29100/4017</t>
  </si>
  <si>
    <t>Shared Services Efficiencies - Audit</t>
  </si>
  <si>
    <t>Residual budget required in future years to progress new shared service initiatives or other options for delivery of services in accordance with the transformation process.</t>
  </si>
  <si>
    <t>Cllr Mallinson</t>
  </si>
  <si>
    <t>Peter Mason</t>
  </si>
  <si>
    <t>B</t>
  </si>
  <si>
    <t>CORP18/09</t>
  </si>
  <si>
    <t>30710/0897</t>
  </si>
  <si>
    <t>Shared Services Efficiencies - Benefits</t>
  </si>
  <si>
    <t>Earmarked to deliver the e-government agenda and customer-focused improvements to the Benefits Service.  Originally funded by DWP and should be used for original purpose .</t>
  </si>
  <si>
    <t>A</t>
  </si>
  <si>
    <t>CORP37/09</t>
  </si>
  <si>
    <t>29600/7050/66217</t>
  </si>
  <si>
    <t>Direct Revenue Financing</t>
  </si>
  <si>
    <t>Budgets originally allocated to fund schemes within the 2009/10 capital programme which have now slipped into 2010/11.  Balance required to be determined.</t>
  </si>
  <si>
    <t>to fund capital expenditure</t>
  </si>
  <si>
    <t>10010/1014/51101</t>
  </si>
  <si>
    <t>Environmental Enhancement - City Centre</t>
  </si>
  <si>
    <t>LABGI funding re improving pedestrian access to City Centre e.g. Repainting underpasses in Hardwick Circus</t>
  </si>
  <si>
    <t>No</t>
  </si>
  <si>
    <t>Cllr Bloxham</t>
  </si>
  <si>
    <t>Angela Culleton</t>
  </si>
  <si>
    <t>10610/1022/10009</t>
  </si>
  <si>
    <t>Plant repair and maintenance for pumping station at Cumwhinton.</t>
  </si>
  <si>
    <t>Work started March 2010</t>
  </si>
  <si>
    <t>Individual allocations for members for commitments on community projects.</t>
  </si>
  <si>
    <t>A/B</t>
  </si>
  <si>
    <t>Theatre/Art Centre</t>
  </si>
  <si>
    <t>Ongoing project for research and investigation of supporting arts and culture facility development.</t>
  </si>
  <si>
    <t>Keith Gerrard</t>
  </si>
  <si>
    <t>15010/4017/53310</t>
  </si>
  <si>
    <t>Tullie House Trust</t>
  </si>
  <si>
    <t>To facilitate the transfer of Tullie House museum to trust status as agreed by the Executive</t>
  </si>
  <si>
    <t>Mark Lambert</t>
  </si>
  <si>
    <t>Agreed by Executive</t>
  </si>
  <si>
    <t>15150/4017/53054</t>
  </si>
  <si>
    <t>Roman Gateway</t>
  </si>
  <si>
    <t>External LABGI funding lodged with Green Spaces relating to consultants fees in respect of the Roman Gateway Public Realm project.</t>
  </si>
  <si>
    <t>15160/4001/53123</t>
  </si>
  <si>
    <t>Chances Park</t>
  </si>
  <si>
    <t>Chances Park activities officer and related costs up to December 2013.  Profile between years required.</t>
  </si>
  <si>
    <t>External funding</t>
  </si>
  <si>
    <t>15160/8152/53123</t>
  </si>
  <si>
    <t>HLF Funding for Chances Park activities officer and related costs</t>
  </si>
  <si>
    <t>16510/0101</t>
  </si>
  <si>
    <t>To fund Monitoring &amp; Evaluation post as agreed through vacancy management - profile over 2 years required.</t>
  </si>
  <si>
    <t>VM201/09</t>
  </si>
  <si>
    <t>16510/3001/53395</t>
  </si>
  <si>
    <t>Social Inclusion Intervention Programme</t>
  </si>
  <si>
    <t>External funding supports the delivery programme for social inclusion activity co-ordinated through the section. Profile over 2 years required.</t>
  </si>
  <si>
    <t>16570/4017/53403</t>
  </si>
  <si>
    <t>Sands Centre</t>
  </si>
  <si>
    <r>
      <t xml:space="preserve">To accommodate payments to </t>
    </r>
    <r>
      <rPr>
        <b/>
        <sz val="12"/>
        <rFont val="Arial"/>
        <family val="2"/>
      </rPr>
      <t>committed</t>
    </r>
    <r>
      <rPr>
        <sz val="12"/>
        <rFont val="Arial"/>
        <family val="2"/>
      </rPr>
      <t xml:space="preserve"> contracts with consultants delayed due to decision from University of Cumbria</t>
    </r>
  </si>
  <si>
    <t>Cllr Ellis</t>
  </si>
  <si>
    <t>21500/3011/59226</t>
  </si>
  <si>
    <t>Community Support Project Development</t>
  </si>
  <si>
    <t xml:space="preserve">To top up funding for the replacement of a vehicle in the capital programme where there is a shortfall. </t>
  </si>
  <si>
    <t>24300/0897/62306</t>
  </si>
  <si>
    <t>To fund extension of current temporary post of District Health and Safety Officer between 01/04/2011 and 06/01/2012.</t>
  </si>
  <si>
    <t>Cllr Luckley</t>
  </si>
  <si>
    <t>employment contract</t>
  </si>
  <si>
    <t>Employee Budget to fund existing post appointed cross year.</t>
  </si>
  <si>
    <t>26000/0897/67001</t>
  </si>
  <si>
    <t>Housing Regeneration</t>
  </si>
  <si>
    <t>Employee Budget allocated from second homes council tax funding for an empty property officer post.</t>
  </si>
  <si>
    <t>21150/0472</t>
  </si>
  <si>
    <t>Business&amp;Employment</t>
  </si>
  <si>
    <t>To cover redundancy costs for employee temporarily redeployed (DS127/08)</t>
  </si>
  <si>
    <t>Chris Hardman</t>
  </si>
  <si>
    <t>DS127/08</t>
  </si>
  <si>
    <t>21050/4017/59033</t>
  </si>
  <si>
    <t>DS48/09 LABGI</t>
  </si>
  <si>
    <t>50010/3897</t>
  </si>
  <si>
    <t>DS71/09 LABGI</t>
  </si>
  <si>
    <t>Employment Projects</t>
  </si>
  <si>
    <t>LABGI for implementation of projects relating to the 'Worklessness' agenda within Economic Strategy (DS71/09)</t>
  </si>
  <si>
    <t>50050/3729/88052</t>
  </si>
  <si>
    <t>50052/4001/59034</t>
  </si>
  <si>
    <t>50052/4017/59035</t>
  </si>
  <si>
    <t>50052/3729/59036</t>
  </si>
  <si>
    <t>50052/4017/59037</t>
  </si>
  <si>
    <t>50080/4017</t>
  </si>
  <si>
    <t>38310/0101/75016</t>
  </si>
  <si>
    <t>38310/0102/75016</t>
  </si>
  <si>
    <t>38310/0103/75016</t>
  </si>
  <si>
    <t>38310/2501/75016</t>
  </si>
  <si>
    <t>Planning Services</t>
  </si>
  <si>
    <t>Planning Standards training posts</t>
  </si>
  <si>
    <t>38310/4017/78009</t>
  </si>
  <si>
    <t>Re Development Land at Morton - preparation and submission of planning application (DS94/09)</t>
  </si>
  <si>
    <t>DS94/09</t>
  </si>
  <si>
    <t>38610/0101/75016</t>
  </si>
  <si>
    <t>38610/0102/75016</t>
  </si>
  <si>
    <t>38610/0103/75016</t>
  </si>
  <si>
    <t>38610/2501/75016</t>
  </si>
  <si>
    <t>38610/2502/75016</t>
  </si>
  <si>
    <t>Historic Building Grants awarded but not yet paid out</t>
  </si>
  <si>
    <t>LEGAL &amp; DEMOCRATIC</t>
  </si>
  <si>
    <t>Rolling 3 year programme to fund the Council's Town Twinning activities.</t>
  </si>
  <si>
    <t>3 year rolling programme</t>
  </si>
  <si>
    <t>32350/0897</t>
  </si>
  <si>
    <t>SF469 - employment contract</t>
  </si>
  <si>
    <t>Pay &amp; Workforce Strategy</t>
  </si>
  <si>
    <t>Required to complete implementation of PWS project.</t>
  </si>
  <si>
    <t>36010/0610/72130</t>
  </si>
  <si>
    <t>Corporate Training</t>
  </si>
  <si>
    <t>To fund design and implementation of a new appraisal scheme</t>
  </si>
  <si>
    <t>Cllr Earp</t>
  </si>
  <si>
    <t xml:space="preserve">TOTAL GENERAL FUND CARRY FORWARD REQUESTS </t>
  </si>
  <si>
    <t>Note 1</t>
  </si>
  <si>
    <t>A - Committed expenditure (to be used for original purpose/externally funded)</t>
  </si>
  <si>
    <t>B - New items of Expenditure</t>
  </si>
  <si>
    <t>To fund shadow post to retiring Elections Officer approved by Staffing Forum.</t>
  </si>
  <si>
    <t>Building Maintenance</t>
  </si>
  <si>
    <t>CSR07 - 2007/08 Baseline Expenditure</t>
  </si>
  <si>
    <t>Total Baseline Expenditure</t>
  </si>
  <si>
    <t>Cumulative Targets for period 2008/09 to 2010/11 as a percentage of above Baseline</t>
  </si>
  <si>
    <t>Identified</t>
  </si>
  <si>
    <t>2008/09 CSR07 Efficiency Target = 3%</t>
  </si>
  <si>
    <t>2009/10 CSR07 Efficiency Target = 6.10%</t>
  </si>
  <si>
    <t>2010/11 CSR07 Efficiency Target = 10.30% (#)</t>
  </si>
  <si>
    <t>(#) = increase in 2010/11 by 1% point to be added to the total savings target</t>
  </si>
  <si>
    <t>CSR07/National Indicator 179 - Cash Releasing Value for Money Gains</t>
  </si>
  <si>
    <t>Savings Strategy Criteria</t>
  </si>
  <si>
    <t>2009/10 Actual</t>
  </si>
  <si>
    <t>2010/11 Forecast</t>
  </si>
  <si>
    <t xml:space="preserve">Notes: How Obtained? </t>
  </si>
  <si>
    <t>Eff Review</t>
  </si>
  <si>
    <t>Increased capacity obtained through joint working</t>
  </si>
  <si>
    <t>Community Development Review</t>
  </si>
  <si>
    <t>Initial efficiency obtained via staff deletion  - Action plan produced for future years</t>
  </si>
  <si>
    <t>Carbon Trust - Invest to Save</t>
  </si>
  <si>
    <t>Capital Investment - efficiency achieved through lower energy useage/consumption</t>
  </si>
  <si>
    <t>Procurement - phase 1</t>
  </si>
  <si>
    <t>Smarter Procurement reduction at source included in Base Budget 2008/09</t>
  </si>
  <si>
    <t>Sub total:</t>
  </si>
  <si>
    <t>Shared Service Revenues &amp; Benefits</t>
  </si>
  <si>
    <t>Budget Saving</t>
  </si>
  <si>
    <t>Asset Disposals - interest on Capital Receipts</t>
  </si>
  <si>
    <t>Now considered CSR07 compliant</t>
  </si>
  <si>
    <t>Cash Limited Budgets - General Inflation</t>
  </si>
  <si>
    <t>Salary Turnover</t>
  </si>
  <si>
    <t>Positions temporarily vacant prior to recruitment.</t>
  </si>
  <si>
    <t>Transformation/Vacancy Management</t>
  </si>
  <si>
    <t>Posts Deleted from Establishment</t>
  </si>
  <si>
    <t>Shared Management arrangements - better use of resources through more efficient structure</t>
  </si>
  <si>
    <t>CSR07/NI179 Total :</t>
  </si>
  <si>
    <t>Transformation</t>
  </si>
  <si>
    <t>Stores &amp; Stock Account</t>
  </si>
  <si>
    <t>Talkin Tarn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</si>
  <si>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</si>
  <si>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</si>
  <si>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</si>
  <si>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</si>
  <si>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</si>
  <si>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</si>
  <si>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</si>
  <si>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</si>
  <si>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</si>
  <si>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</si>
  <si>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Director's Comments</t>
  </si>
  <si>
    <t>LABGI for City Centre Partnership (DS48/09)</t>
  </si>
  <si>
    <t>LABGI unallocated as required to fund 2nd &amp; 3rd years of programme</t>
  </si>
  <si>
    <t>LABGI for Business Start up Programme - balance of second payments due to be claimed.</t>
  </si>
  <si>
    <t>LABGI for Business Start up Programme (DS48/09)</t>
  </si>
  <si>
    <t>LABGI for Business Incubation (DS48/09)</t>
  </si>
  <si>
    <t>LABGI for Growing Carlisle Local Economy Strategy (DS48/09)</t>
  </si>
  <si>
    <t>LABGI for Economic Action Plan for Brampton (DS48/09)</t>
  </si>
  <si>
    <t>LABGI for Old Town Hall redevelopment</t>
  </si>
  <si>
    <t>Budget Available as at 18.05.2010</t>
  </si>
  <si>
    <t>Shared Services Efficiencies</t>
  </si>
  <si>
    <t>Residual budget required to meet the shared audit service business case development costs.</t>
  </si>
  <si>
    <t>Carlisle Renaissance Operating Costs.  To provide a provision for post review costs and the continuation of salary expenditure.</t>
  </si>
  <si>
    <t>REVENUE BUDGET MONITORING 2010/11</t>
  </si>
  <si>
    <t>CHIEF EXECUTIVE'S OFFICE</t>
  </si>
  <si>
    <t>Analysis of Variances</t>
  </si>
  <si>
    <t>Budget to Date</t>
  </si>
  <si>
    <t>DEPUTY CHIEF EXECUTIVE</t>
  </si>
  <si>
    <t>GOVERNANCE</t>
  </si>
  <si>
    <t>RESOURCES</t>
  </si>
  <si>
    <t>COMMUNITY ENGAGEMENT</t>
  </si>
  <si>
    <t>ECONOMIC DEVELOPMENT</t>
  </si>
  <si>
    <t>LOCAL ENVIRONMENT</t>
  </si>
  <si>
    <t>APPENDIX A2</t>
  </si>
  <si>
    <t>Miscellaneous</t>
  </si>
  <si>
    <t>Other Financial Costs</t>
  </si>
  <si>
    <t>Treasury &amp; Debt Management</t>
  </si>
  <si>
    <t>The Lanes</t>
  </si>
  <si>
    <t>Reduced rental income receipts due to vacant units, voids and discounts.</t>
  </si>
  <si>
    <t>Low Harker Dene Travellers Site</t>
  </si>
  <si>
    <t xml:space="preserve">The budgets require adjustment to reflect actual expenses and income levels. </t>
  </si>
  <si>
    <t>Revenues &amp; Benefits</t>
  </si>
  <si>
    <t>Cumbria Sub Regional Employment Sites</t>
  </si>
  <si>
    <t>External funding for this scheme was declined and an alternative source has yet to be identified.</t>
  </si>
  <si>
    <t xml:space="preserve">The budget forecasts for expenses and income levels for this service have yet to be formalised. </t>
  </si>
  <si>
    <t>Carlisle Renaissance</t>
  </si>
  <si>
    <t>Grounds Maintenance</t>
  </si>
  <si>
    <t>Play Areas</t>
  </si>
  <si>
    <t>Miscellaneous Highways Agency Schemes</t>
  </si>
  <si>
    <t>Highways Claimed Rights</t>
  </si>
  <si>
    <t>Miscellaneous Highways Schemes</t>
  </si>
  <si>
    <t>Recycling &amp; Waste Collection</t>
  </si>
  <si>
    <t xml:space="preserve">Over budget expenses on schemes, offset by income recovered from Cumbria County Council. </t>
  </si>
  <si>
    <t>Highways &amp; Area Maintenance</t>
  </si>
  <si>
    <t xml:space="preserve">Overspend on materials and supplies offset by increased sales and parking income </t>
  </si>
  <si>
    <t>Overspend on materials and supplies, however Grounds Maintenance budgets for expenses charged to all services</t>
  </si>
  <si>
    <t>Underspend on equipment.</t>
  </si>
  <si>
    <t>2008/09 Actual</t>
  </si>
  <si>
    <t>Review Print Strategy including equipment - Capital based bid required for 2011-12</t>
  </si>
  <si>
    <t>Based on 5% of 2008/09 Budget = £724,000 (Revised due to Shared Service Exercise)</t>
  </si>
  <si>
    <t>Increased income from management arrangement with Copeland BC. No additional R&amp;B resources employed. Arrangement extended due to Shared Service delay</t>
  </si>
  <si>
    <t>Business Plan savings from Shared service (Amended due to revised implementation date)</t>
  </si>
  <si>
    <t>January 2010  - Now included - as instructed by Finance Manager.</t>
  </si>
  <si>
    <t xml:space="preserve">Transformation/Restructure </t>
  </si>
  <si>
    <t>L:\Gershon\2010-11 CSR07</t>
  </si>
  <si>
    <t>STRATEGIC DIRECTOR &amp; SUPPORT</t>
  </si>
  <si>
    <t>Position as at 30 September 2010</t>
  </si>
  <si>
    <t>There are no major variances on which to comment.</t>
  </si>
  <si>
    <t>Concessionary Fares</t>
  </si>
  <si>
    <t>CMS Administration</t>
  </si>
  <si>
    <t>The Strategic Director has overall responsibility for the Community Engagement, Economic Development and</t>
  </si>
  <si>
    <t>Local Environment directorates. Any major variances within these areas are highlighted on the following appendices.</t>
  </si>
  <si>
    <t>There are no major variances to date on which to comment.</t>
  </si>
  <si>
    <t>The Deputy Chief Executive has overall responsibility and is Strategic Director for the Governance and Resources</t>
  </si>
  <si>
    <t>directorates and any major variances within these areas are highlighted on the following appendices.</t>
  </si>
  <si>
    <t>Bousteads Grassing under the previous management arrangements. Once the Transformation process is</t>
  </si>
  <si>
    <t>complete these costs will be transferred, predominantly to Local Environment and Resources.</t>
  </si>
  <si>
    <t>Hostels and Homeshares</t>
  </si>
  <si>
    <t>and contributions.</t>
  </si>
  <si>
    <t>Over budget expenses on projects particularly Hub and the Roman Gateway, offset by over budget grant income</t>
  </si>
  <si>
    <t>Shortfall on fees income.</t>
  </si>
  <si>
    <t>Underspend on premises repairs and maintenance and additional income due to high occupancy levels.</t>
  </si>
  <si>
    <t>Underspends on recruitment, internal training costs etc. held centrally for staff formerly employed at</t>
  </si>
  <si>
    <t xml:space="preserve">Over budget expenses on projects and external funding, budgets for which have yet to be allocated. </t>
  </si>
  <si>
    <t>Street Cleaning</t>
  </si>
  <si>
    <t>REVENUE BUDGET MONITORING - APRIL TO SEPTEMBER 2010</t>
  </si>
  <si>
    <t>Directorate</t>
  </si>
  <si>
    <t>Chief Executive's Team</t>
  </si>
  <si>
    <t>Deputy Chief Executive</t>
  </si>
  <si>
    <t>Governance</t>
  </si>
  <si>
    <t>Resources</t>
  </si>
  <si>
    <t>Strategic Director</t>
  </si>
  <si>
    <t>Community Engagement</t>
  </si>
  <si>
    <t>Economic Development</t>
  </si>
  <si>
    <t>Local Environment</t>
  </si>
  <si>
    <t>Totals from ledger/reports</t>
  </si>
  <si>
    <t>difference [if any]</t>
  </si>
  <si>
    <t>Gross Expenditure</t>
  </si>
  <si>
    <t>Gross Income</t>
  </si>
  <si>
    <t>Gross Recharges</t>
  </si>
  <si>
    <t>Annual budgets from reports</t>
  </si>
  <si>
    <t>Budget Expenditure to date</t>
  </si>
  <si>
    <t>Budget Income to date</t>
  </si>
  <si>
    <t>Budget Recharges to date</t>
  </si>
  <si>
    <t>Budget Total to date</t>
  </si>
  <si>
    <t>Expenditure to date</t>
  </si>
  <si>
    <t>Income to date</t>
  </si>
  <si>
    <t>Recharges to date</t>
  </si>
  <si>
    <t>Total to date</t>
  </si>
  <si>
    <t>Unadjusted Variance</t>
  </si>
  <si>
    <t>Underspent expenses on search fees due to the decline in the housing market. The annual income budget was</t>
  </si>
  <si>
    <t>reduced by £241,000 in anticipation of a downturn that has been lower than expected.</t>
  </si>
  <si>
    <t>Underspends on various items, including costs of legal services, reference materials and printing.</t>
  </si>
  <si>
    <t>Underspent expenses Standards Bid (£60,700) offset by £24,000 overspend on advertising planning applications</t>
  </si>
  <si>
    <t>and shortfall in fee income.</t>
  </si>
  <si>
    <t>throughout the Council are underspent by (£25,600) to date.</t>
  </si>
  <si>
    <t>Underspend (£18,900) on administration and patrolling expenses, (£22,100) Viaduct car park NNDR adjustment.</t>
  </si>
  <si>
    <t>On Street parking (£36,900) underspend on traffic signage and other expenses and (£19,000) surplus income</t>
  </si>
  <si>
    <t xml:space="preserve">Off Street parking over achieved ticket sales (£66,800) offset by £25,500 shortfall on contract parking income.  </t>
  </si>
  <si>
    <t xml:space="preserve">Over budget sub contractors and materials, partly offset by over budget income from recharged project expenses </t>
  </si>
  <si>
    <t>and maintenance costs.</t>
  </si>
  <si>
    <t>Employees savings are offset by overspent supplies £8,300 and £17,800 transport costs, including £6,700 diesel.</t>
  </si>
  <si>
    <t>Underspent Small Scales Wards schemes</t>
  </si>
  <si>
    <t>City Lighting</t>
  </si>
  <si>
    <t>11.</t>
  </si>
  <si>
    <t>Underspend reactive maintenance and new lighting expenses</t>
  </si>
  <si>
    <t>(£125,200) receipt from sale of client list for the Trade Waste collection service ended on 30th June 2010.</t>
  </si>
  <si>
    <t>Savings of (£16,100) on Green Box collections prior to the new contract agreed with FOCSA from 1st June 2010 and</t>
  </si>
  <si>
    <t>Reduced transport repair and hire costs (£73,100) due to purchase of new fleet of collection vehicles.</t>
  </si>
  <si>
    <t>Overspend on MRP due to Capital Programme utilising more than expected receipts and shortfall on investment</t>
  </si>
  <si>
    <t>Shortfalls on Salary Turnover Savings, income for Area Based Grant and Second Homes Council Tax discount.</t>
  </si>
  <si>
    <t>Underspends on vehicle repairs offset by reduced costs recharged to all services.</t>
  </si>
  <si>
    <t>Overspend on sub contractors, however Municipal Maintenance budgets; programmed and reactive premises repairs</t>
  </si>
  <si>
    <t xml:space="preserve">and maintenance expenses charged to all services, are underspent by (£39,000) to date. </t>
  </si>
  <si>
    <t xml:space="preserve">Over budget expenses on purchase of materials and supplies, offset by over budget income from recharged costs. </t>
  </si>
  <si>
    <t>Underspend on contractor payments and surplus income from railcard charges.</t>
  </si>
  <si>
    <t>interest income.</t>
  </si>
  <si>
    <t>2010/11 Apl-Sept Forecast</t>
  </si>
  <si>
    <t>1a</t>
  </si>
  <si>
    <r>
      <t>2010/11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Apl - Sept Actual</t>
    </r>
  </si>
  <si>
    <t>Overspend on schemes offset by additional income claimed.</t>
  </si>
</sst>
</file>

<file path=xl/styles.xml><?xml version="1.0" encoding="utf-8"?>
<styleSheet xmlns="http://schemas.openxmlformats.org/spreadsheetml/2006/main">
  <numFmts count="4">
    <numFmt numFmtId="164" formatCode="#,##0;\(#,##0\)"/>
    <numFmt numFmtId="165" formatCode="0.0%"/>
    <numFmt numFmtId="166" formatCode="#,##0;\(#,##0.00\)"/>
    <numFmt numFmtId="167" formatCode="&quot;£&quot;#,##0"/>
  </numFmts>
  <fonts count="1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" fillId="0" borderId="0"/>
    <xf numFmtId="0" fontId="15" fillId="0" borderId="0">
      <alignment vertical="top"/>
    </xf>
  </cellStyleXfs>
  <cellXfs count="370">
    <xf numFmtId="0" fontId="0" fillId="0" borderId="0" xfId="0"/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64" fontId="3" fillId="0" borderId="1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6" fillId="0" borderId="4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16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/>
    <xf numFmtId="0" fontId="4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5" fillId="0" borderId="0" xfId="1" applyNumberFormat="1" applyFont="1" applyFill="1"/>
    <xf numFmtId="164" fontId="5" fillId="0" borderId="0" xfId="1" applyNumberFormat="1" applyFont="1" applyFill="1"/>
    <xf numFmtId="0" fontId="5" fillId="0" borderId="23" xfId="1" applyNumberFormat="1" applyFont="1" applyFill="1" applyBorder="1"/>
    <xf numFmtId="0" fontId="5" fillId="0" borderId="23" xfId="1" applyFont="1" applyFill="1" applyBorder="1"/>
    <xf numFmtId="164" fontId="5" fillId="0" borderId="23" xfId="1" applyNumberFormat="1" applyFont="1" applyFill="1" applyBorder="1" applyAlignment="1">
      <alignment horizontal="center"/>
    </xf>
    <xf numFmtId="164" fontId="5" fillId="0" borderId="25" xfId="1" applyNumberFormat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5" xfId="1" applyNumberFormat="1" applyFont="1" applyFill="1" applyBorder="1"/>
    <xf numFmtId="0" fontId="5" fillId="0" borderId="25" xfId="1" applyFont="1" applyFill="1" applyBorder="1"/>
    <xf numFmtId="164" fontId="5" fillId="0" borderId="14" xfId="1" quotePrefix="1" applyNumberFormat="1" applyFont="1" applyFill="1" applyBorder="1" applyAlignment="1">
      <alignment horizontal="center"/>
    </xf>
    <xf numFmtId="164" fontId="5" fillId="0" borderId="30" xfId="1" quotePrefix="1" applyNumberFormat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9" xfId="1" applyNumberFormat="1" applyFont="1" applyFill="1" applyBorder="1"/>
    <xf numFmtId="0" fontId="5" fillId="0" borderId="29" xfId="1" applyFont="1" applyFill="1" applyBorder="1"/>
    <xf numFmtId="164" fontId="5" fillId="0" borderId="20" xfId="1" quotePrefix="1" applyNumberFormat="1" applyFont="1" applyFill="1" applyBorder="1" applyAlignment="1">
      <alignment horizontal="center"/>
    </xf>
    <xf numFmtId="164" fontId="5" fillId="0" borderId="25" xfId="1" quotePrefix="1" applyNumberFormat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164" fontId="5" fillId="0" borderId="20" xfId="1" quotePrefix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/>
    <xf numFmtId="0" fontId="5" fillId="0" borderId="26" xfId="1" applyNumberFormat="1" applyFont="1" applyFill="1" applyBorder="1"/>
    <xf numFmtId="0" fontId="3" fillId="0" borderId="25" xfId="1" applyFont="1" applyFill="1" applyBorder="1"/>
    <xf numFmtId="0" fontId="3" fillId="0" borderId="27" xfId="1" applyFont="1" applyFill="1" applyBorder="1" applyAlignment="1">
      <alignment horizontal="center" vertical="top"/>
    </xf>
    <xf numFmtId="164" fontId="3" fillId="0" borderId="27" xfId="1" applyNumberFormat="1" applyFont="1" applyFill="1" applyBorder="1"/>
    <xf numFmtId="164" fontId="3" fillId="0" borderId="25" xfId="1" applyNumberFormat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center" wrapText="1"/>
    </xf>
    <xf numFmtId="164" fontId="3" fillId="0" borderId="27" xfId="1" applyNumberFormat="1" applyFont="1" applyFill="1" applyBorder="1" applyAlignment="1">
      <alignment horizontal="right"/>
    </xf>
    <xf numFmtId="0" fontId="3" fillId="0" borderId="29" xfId="1" applyNumberFormat="1" applyFont="1" applyFill="1" applyBorder="1"/>
    <xf numFmtId="0" fontId="3" fillId="0" borderId="29" xfId="1" applyFont="1" applyFill="1" applyBorder="1"/>
    <xf numFmtId="0" fontId="3" fillId="0" borderId="29" xfId="1" applyFont="1" applyFill="1" applyBorder="1" applyAlignment="1">
      <alignment horizontal="center" vertical="top"/>
    </xf>
    <xf numFmtId="164" fontId="5" fillId="0" borderId="20" xfId="1" applyNumberFormat="1" applyFont="1" applyFill="1" applyBorder="1"/>
    <xf numFmtId="164" fontId="5" fillId="0" borderId="25" xfId="1" applyNumberFormat="1" applyFont="1" applyFill="1" applyBorder="1"/>
    <xf numFmtId="164" fontId="5" fillId="0" borderId="20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 wrapText="1"/>
    </xf>
    <xf numFmtId="164" fontId="3" fillId="0" borderId="25" xfId="1" applyNumberFormat="1" applyFont="1" applyFill="1" applyBorder="1" applyAlignment="1"/>
    <xf numFmtId="164" fontId="3" fillId="0" borderId="27" xfId="1" applyNumberFormat="1" applyFont="1" applyFill="1" applyBorder="1" applyAlignment="1"/>
    <xf numFmtId="164" fontId="3" fillId="0" borderId="27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 wrapText="1"/>
    </xf>
    <xf numFmtId="0" fontId="3" fillId="0" borderId="27" xfId="1" applyFont="1" applyFill="1" applyBorder="1" applyAlignment="1">
      <alignment horizontal="center" vertical="top" wrapText="1"/>
    </xf>
    <xf numFmtId="164" fontId="3" fillId="0" borderId="27" xfId="1" applyNumberFormat="1" applyFont="1" applyFill="1" applyBorder="1" applyAlignment="1">
      <alignment vertical="top" wrapText="1"/>
    </xf>
    <xf numFmtId="164" fontId="3" fillId="0" borderId="25" xfId="1" applyNumberFormat="1" applyFont="1" applyFill="1" applyBorder="1" applyAlignment="1">
      <alignment vertical="top"/>
    </xf>
    <xf numFmtId="0" fontId="3" fillId="0" borderId="25" xfId="1" applyFont="1" applyFill="1" applyBorder="1" applyAlignment="1">
      <alignment horizontal="center" vertical="top" wrapText="1"/>
    </xf>
    <xf numFmtId="164" fontId="3" fillId="0" borderId="27" xfId="1" applyNumberFormat="1" applyFont="1" applyFill="1" applyBorder="1" applyAlignment="1">
      <alignment horizontal="right" vertical="top" wrapText="1"/>
    </xf>
    <xf numFmtId="164" fontId="3" fillId="0" borderId="27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3" fillId="0" borderId="29" xfId="1" quotePrefix="1" applyNumberFormat="1" applyFont="1" applyFill="1" applyBorder="1"/>
    <xf numFmtId="0" fontId="3" fillId="0" borderId="23" xfId="1" applyFont="1" applyFill="1" applyBorder="1"/>
    <xf numFmtId="0" fontId="3" fillId="0" borderId="30" xfId="1" applyFont="1" applyFill="1" applyBorder="1" applyAlignment="1">
      <alignment horizontal="center" vertical="top"/>
    </xf>
    <xf numFmtId="164" fontId="3" fillId="0" borderId="30" xfId="1" applyNumberFormat="1" applyFont="1" applyFill="1" applyBorder="1"/>
    <xf numFmtId="164" fontId="3" fillId="0" borderId="23" xfId="1" applyNumberFormat="1" applyFont="1" applyFill="1" applyBorder="1" applyAlignment="1"/>
    <xf numFmtId="164" fontId="3" fillId="0" borderId="23" xfId="1" applyNumberFormat="1" applyFont="1" applyFill="1" applyBorder="1" applyAlignment="1">
      <alignment horizontal="right"/>
    </xf>
    <xf numFmtId="164" fontId="3" fillId="0" borderId="23" xfId="1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 wrapText="1"/>
    </xf>
    <xf numFmtId="0" fontId="3" fillId="0" borderId="25" xfId="1" applyNumberFormat="1" applyFont="1" applyFill="1" applyBorder="1" applyAlignment="1">
      <alignment vertical="top"/>
    </xf>
    <xf numFmtId="164" fontId="3" fillId="0" borderId="27" xfId="1" applyNumberFormat="1" applyFont="1" applyFill="1" applyBorder="1" applyAlignment="1">
      <alignment vertical="top"/>
    </xf>
    <xf numFmtId="0" fontId="3" fillId="0" borderId="25" xfId="1" applyFont="1" applyFill="1" applyBorder="1" applyAlignment="1">
      <alignment horizontal="center" vertical="top"/>
    </xf>
    <xf numFmtId="164" fontId="3" fillId="0" borderId="27" xfId="1" applyNumberFormat="1" applyFont="1" applyFill="1" applyBorder="1" applyAlignment="1">
      <alignment horizontal="right" vertical="top"/>
    </xf>
    <xf numFmtId="164" fontId="3" fillId="0" borderId="27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164" fontId="3" fillId="0" borderId="25" xfId="1" applyNumberFormat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5" xfId="1" applyNumberFormat="1" applyFont="1" applyFill="1" applyBorder="1" applyAlignment="1">
      <alignment horizontal="right" vertical="top"/>
    </xf>
    <xf numFmtId="164" fontId="3" fillId="0" borderId="25" xfId="1" applyNumberFormat="1" applyFont="1" applyFill="1" applyBorder="1" applyAlignment="1">
      <alignment horizontal="center" vertical="top" wrapText="1"/>
    </xf>
    <xf numFmtId="164" fontId="5" fillId="0" borderId="20" xfId="1" applyNumberFormat="1" applyFont="1" applyFill="1" applyBorder="1" applyAlignment="1"/>
    <xf numFmtId="164" fontId="5" fillId="0" borderId="25" xfId="1" applyNumberFormat="1" applyFont="1" applyFill="1" applyBorder="1" applyAlignment="1"/>
    <xf numFmtId="3" fontId="5" fillId="0" borderId="20" xfId="1" applyNumberFormat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3" xfId="1" applyNumberFormat="1" applyFont="1" applyFill="1" applyBorder="1" applyAlignment="1">
      <alignment horizontal="center" vertical="top"/>
    </xf>
    <xf numFmtId="164" fontId="3" fillId="0" borderId="31" xfId="1" applyNumberFormat="1" applyFont="1" applyFill="1" applyBorder="1"/>
    <xf numFmtId="164" fontId="3" fillId="0" borderId="23" xfId="1" applyNumberFormat="1" applyFont="1" applyFill="1" applyBorder="1"/>
    <xf numFmtId="3" fontId="3" fillId="0" borderId="25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25" xfId="1" applyNumberFormat="1" applyFont="1" applyFill="1" applyBorder="1" applyAlignment="1">
      <alignment horizontal="right" vertical="top" wrapText="1"/>
    </xf>
    <xf numFmtId="164" fontId="5" fillId="0" borderId="22" xfId="1" applyNumberFormat="1" applyFont="1" applyFill="1" applyBorder="1" applyAlignment="1"/>
    <xf numFmtId="164" fontId="5" fillId="0" borderId="14" xfId="1" applyNumberFormat="1" applyFont="1" applyFill="1" applyBorder="1" applyAlignment="1"/>
    <xf numFmtId="0" fontId="3" fillId="0" borderId="23" xfId="1" applyFont="1" applyFill="1" applyBorder="1" applyAlignment="1">
      <alignment horizontal="center" vertical="top"/>
    </xf>
    <xf numFmtId="164" fontId="5" fillId="0" borderId="22" xfId="1" applyNumberFormat="1" applyFont="1" applyFill="1" applyBorder="1"/>
    <xf numFmtId="164" fontId="5" fillId="0" borderId="14" xfId="1" applyNumberFormat="1" applyFont="1" applyFill="1" applyBorder="1"/>
    <xf numFmtId="0" fontId="5" fillId="0" borderId="0" xfId="1" applyFont="1" applyFill="1"/>
    <xf numFmtId="0" fontId="5" fillId="0" borderId="20" xfId="1" applyNumberFormat="1" applyFont="1" applyFill="1" applyBorder="1"/>
    <xf numFmtId="0" fontId="3" fillId="0" borderId="20" xfId="1" applyFont="1" applyFill="1" applyBorder="1"/>
    <xf numFmtId="0" fontId="3" fillId="0" borderId="20" xfId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right"/>
    </xf>
    <xf numFmtId="0" fontId="4" fillId="0" borderId="0" xfId="1" applyFont="1" applyFill="1"/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35" xfId="1" applyFont="1" applyFill="1" applyBorder="1" applyAlignment="1">
      <alignment vertical="top" wrapText="1"/>
    </xf>
    <xf numFmtId="0" fontId="3" fillId="0" borderId="36" xfId="1" applyFont="1" applyFill="1" applyBorder="1" applyAlignment="1">
      <alignment horizontal="center" vertical="top" wrapText="1"/>
    </xf>
    <xf numFmtId="164" fontId="3" fillId="0" borderId="36" xfId="1" applyNumberFormat="1" applyFont="1" applyFill="1" applyBorder="1" applyAlignment="1">
      <alignment vertical="top" wrapText="1"/>
    </xf>
    <xf numFmtId="164" fontId="3" fillId="0" borderId="35" xfId="1" applyNumberFormat="1" applyFont="1" applyFill="1" applyBorder="1" applyAlignment="1">
      <alignment vertical="top"/>
    </xf>
    <xf numFmtId="0" fontId="3" fillId="0" borderId="34" xfId="1" applyFont="1" applyFill="1" applyBorder="1" applyAlignment="1">
      <alignment vertical="top" wrapText="1"/>
    </xf>
    <xf numFmtId="0" fontId="3" fillId="0" borderId="37" xfId="1" applyFont="1" applyFill="1" applyBorder="1" applyAlignment="1">
      <alignment horizontal="center" vertical="top" wrapText="1"/>
    </xf>
    <xf numFmtId="164" fontId="3" fillId="0" borderId="37" xfId="1" applyNumberFormat="1" applyFont="1" applyFill="1" applyBorder="1" applyAlignment="1">
      <alignment vertical="top" wrapText="1"/>
    </xf>
    <xf numFmtId="164" fontId="3" fillId="0" borderId="34" xfId="1" applyNumberFormat="1" applyFont="1" applyFill="1" applyBorder="1" applyAlignment="1">
      <alignment vertical="top"/>
    </xf>
    <xf numFmtId="164" fontId="3" fillId="0" borderId="35" xfId="1" applyNumberFormat="1" applyFont="1" applyFill="1" applyBorder="1" applyAlignment="1">
      <alignment horizontal="right" vertical="top" wrapText="1"/>
    </xf>
    <xf numFmtId="164" fontId="3" fillId="0" borderId="34" xfId="1" applyNumberFormat="1" applyFont="1" applyFill="1" applyBorder="1" applyAlignment="1">
      <alignment horizontal="right" vertical="top" wrapText="1"/>
    </xf>
    <xf numFmtId="164" fontId="3" fillId="0" borderId="36" xfId="1" applyNumberFormat="1" applyFont="1" applyFill="1" applyBorder="1" applyAlignment="1">
      <alignment vertical="top"/>
    </xf>
    <xf numFmtId="164" fontId="3" fillId="0" borderId="35" xfId="1" applyNumberFormat="1" applyFont="1" applyFill="1" applyBorder="1" applyAlignment="1">
      <alignment horizontal="right" vertical="top"/>
    </xf>
    <xf numFmtId="164" fontId="3" fillId="0" borderId="34" xfId="1" applyNumberFormat="1" applyFont="1" applyFill="1" applyBorder="1" applyAlignment="1">
      <alignment vertical="top" wrapText="1"/>
    </xf>
    <xf numFmtId="0" fontId="3" fillId="0" borderId="34" xfId="1" applyFont="1" applyFill="1" applyBorder="1" applyAlignment="1">
      <alignment vertical="top"/>
    </xf>
    <xf numFmtId="164" fontId="3" fillId="0" borderId="37" xfId="1" applyNumberFormat="1" applyFont="1" applyFill="1" applyBorder="1" applyAlignment="1">
      <alignment vertical="top"/>
    </xf>
    <xf numFmtId="164" fontId="3" fillId="0" borderId="34" xfId="1" applyNumberFormat="1" applyFont="1" applyFill="1" applyBorder="1" applyAlignment="1">
      <alignment horizontal="right" vertical="top"/>
    </xf>
    <xf numFmtId="164" fontId="3" fillId="0" borderId="35" xfId="1" applyNumberFormat="1" applyFont="1" applyFill="1" applyBorder="1" applyAlignment="1">
      <alignment vertical="top" wrapText="1"/>
    </xf>
    <xf numFmtId="0" fontId="3" fillId="0" borderId="37" xfId="1" applyFont="1" applyFill="1" applyBorder="1" applyAlignment="1">
      <alignment horizontal="center" vertical="top"/>
    </xf>
    <xf numFmtId="0" fontId="3" fillId="0" borderId="34" xfId="1" applyFont="1" applyFill="1" applyBorder="1"/>
    <xf numFmtId="0" fontId="3" fillId="0" borderId="34" xfId="1" applyFont="1" applyFill="1" applyBorder="1" applyAlignment="1">
      <alignment wrapText="1"/>
    </xf>
    <xf numFmtId="164" fontId="3" fillId="0" borderId="37" xfId="1" applyNumberFormat="1" applyFont="1" applyFill="1" applyBorder="1"/>
    <xf numFmtId="164" fontId="3" fillId="0" borderId="34" xfId="1" applyNumberFormat="1" applyFont="1" applyFill="1" applyBorder="1" applyAlignment="1"/>
    <xf numFmtId="0" fontId="3" fillId="0" borderId="35" xfId="1" applyFont="1" applyFill="1" applyBorder="1" applyAlignment="1">
      <alignment vertical="top"/>
    </xf>
    <xf numFmtId="0" fontId="3" fillId="0" borderId="36" xfId="1" applyFont="1" applyFill="1" applyBorder="1" applyAlignment="1">
      <alignment horizontal="center" vertical="top"/>
    </xf>
    <xf numFmtId="3" fontId="3" fillId="0" borderId="35" xfId="1" applyNumberFormat="1" applyFont="1" applyFill="1" applyBorder="1" applyAlignment="1">
      <alignment vertical="top"/>
    </xf>
    <xf numFmtId="3" fontId="3" fillId="0" borderId="35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vertical="top"/>
    </xf>
    <xf numFmtId="3" fontId="3" fillId="0" borderId="34" xfId="1" applyNumberFormat="1" applyFont="1" applyFill="1" applyBorder="1" applyAlignment="1">
      <alignment vertical="top" wrapText="1"/>
    </xf>
    <xf numFmtId="0" fontId="3" fillId="0" borderId="35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horizontal="center" vertical="top" wrapText="1"/>
    </xf>
    <xf numFmtId="0" fontId="3" fillId="0" borderId="34" xfId="1" applyFont="1" applyFill="1" applyBorder="1" applyAlignment="1">
      <alignment horizontal="center" vertical="top" wrapText="1"/>
    </xf>
    <xf numFmtId="164" fontId="3" fillId="0" borderId="39" xfId="1" applyNumberFormat="1" applyFont="1" applyFill="1" applyBorder="1" applyAlignment="1">
      <alignment horizontal="right" vertical="top" wrapText="1"/>
    </xf>
    <xf numFmtId="164" fontId="3" fillId="0" borderId="35" xfId="1" applyNumberFormat="1" applyFont="1" applyFill="1" applyBorder="1" applyAlignment="1">
      <alignment horizontal="right"/>
    </xf>
    <xf numFmtId="164" fontId="3" fillId="0" borderId="37" xfId="1" applyNumberFormat="1" applyFont="1" applyFill="1" applyBorder="1" applyAlignment="1">
      <alignment horizontal="center" vertical="top"/>
    </xf>
    <xf numFmtId="164" fontId="3" fillId="0" borderId="37" xfId="1" applyNumberFormat="1" applyFont="1" applyFill="1" applyBorder="1" applyAlignment="1">
      <alignment horizontal="center" vertical="top" wrapText="1"/>
    </xf>
    <xf numFmtId="0" fontId="3" fillId="0" borderId="23" xfId="1" applyNumberFormat="1" applyFont="1" applyFill="1" applyBorder="1"/>
    <xf numFmtId="0" fontId="3" fillId="0" borderId="35" xfId="1" applyNumberFormat="1" applyFont="1" applyFill="1" applyBorder="1" applyAlignment="1">
      <alignment vertical="top"/>
    </xf>
    <xf numFmtId="0" fontId="3" fillId="0" borderId="34" xfId="1" applyNumberFormat="1" applyFont="1" applyFill="1" applyBorder="1" applyAlignment="1">
      <alignment vertical="top" wrapText="1"/>
    </xf>
    <xf numFmtId="0" fontId="3" fillId="0" borderId="34" xfId="1" applyNumberFormat="1" applyFont="1" applyFill="1" applyBorder="1" applyAlignment="1">
      <alignment vertical="top"/>
    </xf>
    <xf numFmtId="0" fontId="3" fillId="0" borderId="35" xfId="1" applyNumberFormat="1" applyFont="1" applyFill="1" applyBorder="1" applyAlignment="1">
      <alignment vertical="top" wrapText="1"/>
    </xf>
    <xf numFmtId="0" fontId="3" fillId="0" borderId="34" xfId="1" applyNumberFormat="1" applyFont="1" applyFill="1" applyBorder="1"/>
    <xf numFmtId="0" fontId="3" fillId="3" borderId="34" xfId="1" applyNumberFormat="1" applyFont="1" applyFill="1" applyBorder="1" applyAlignment="1">
      <alignment horizontal="left" vertical="top"/>
    </xf>
    <xf numFmtId="164" fontId="3" fillId="0" borderId="35" xfId="1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/>
    <xf numFmtId="164" fontId="3" fillId="0" borderId="7" xfId="0" applyNumberFormat="1" applyFont="1" applyFill="1" applyBorder="1"/>
    <xf numFmtId="164" fontId="3" fillId="0" borderId="21" xfId="0" applyNumberFormat="1" applyFont="1" applyFill="1" applyBorder="1"/>
    <xf numFmtId="164" fontId="9" fillId="5" borderId="16" xfId="0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9" fillId="5" borderId="4" xfId="0" applyNumberFormat="1" applyFont="1" applyFill="1" applyBorder="1"/>
    <xf numFmtId="164" fontId="10" fillId="5" borderId="3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11" fillId="5" borderId="9" xfId="0" applyNumberFormat="1" applyFont="1" applyFill="1" applyBorder="1"/>
    <xf numFmtId="164" fontId="10" fillId="5" borderId="0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/>
    <xf numFmtId="164" fontId="3" fillId="0" borderId="4" xfId="0" applyNumberFormat="1" applyFont="1" applyFill="1" applyBorder="1"/>
    <xf numFmtId="164" fontId="3" fillId="0" borderId="15" xfId="0" applyNumberFormat="1" applyFont="1" applyFill="1" applyBorder="1"/>
    <xf numFmtId="164" fontId="5" fillId="0" borderId="40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164" fontId="10" fillId="5" borderId="9" xfId="0" applyNumberFormat="1" applyFont="1" applyFill="1" applyBorder="1"/>
    <xf numFmtId="164" fontId="10" fillId="5" borderId="8" xfId="0" applyNumberFormat="1" applyFont="1" applyFill="1" applyBorder="1" applyAlignment="1">
      <alignment horizontal="center"/>
    </xf>
    <xf numFmtId="164" fontId="9" fillId="5" borderId="9" xfId="0" applyNumberFormat="1" applyFont="1" applyFill="1" applyBorder="1" applyAlignment="1">
      <alignment horizontal="center"/>
    </xf>
    <xf numFmtId="164" fontId="9" fillId="5" borderId="6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17" xfId="0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3" fillId="0" borderId="12" xfId="0" quotePrefix="1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164" fontId="3" fillId="0" borderId="2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/>
    </xf>
    <xf numFmtId="164" fontId="5" fillId="0" borderId="40" xfId="0" applyNumberFormat="1" applyFont="1" applyFill="1" applyBorder="1"/>
    <xf numFmtId="164" fontId="10" fillId="5" borderId="21" xfId="0" applyNumberFormat="1" applyFont="1" applyFill="1" applyBorder="1" applyAlignment="1">
      <alignment horizontal="center"/>
    </xf>
    <xf numFmtId="164" fontId="10" fillId="5" borderId="21" xfId="0" applyNumberFormat="1" applyFont="1" applyFill="1" applyBorder="1"/>
    <xf numFmtId="164" fontId="10" fillId="5" borderId="17" xfId="0" applyNumberFormat="1" applyFont="1" applyFill="1" applyBorder="1"/>
    <xf numFmtId="164" fontId="10" fillId="5" borderId="0" xfId="0" applyNumberFormat="1" applyFont="1" applyFill="1" applyBorder="1"/>
    <xf numFmtId="164" fontId="9" fillId="5" borderId="3" xfId="0" applyNumberFormat="1" applyFont="1" applyFill="1" applyBorder="1"/>
    <xf numFmtId="164" fontId="9" fillId="5" borderId="1" xfId="0" applyNumberFormat="1" applyFont="1" applyFill="1" applyBorder="1"/>
    <xf numFmtId="164" fontId="11" fillId="5" borderId="0" xfId="0" applyNumberFormat="1" applyFont="1" applyFill="1" applyBorder="1"/>
    <xf numFmtId="164" fontId="9" fillId="5" borderId="21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9" fillId="0" borderId="4" xfId="0" applyNumberFormat="1" applyFont="1" applyFill="1" applyBorder="1"/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/>
    <xf numFmtId="164" fontId="10" fillId="0" borderId="5" xfId="0" applyNumberFormat="1" applyFont="1" applyFill="1" applyBorder="1"/>
    <xf numFmtId="164" fontId="9" fillId="0" borderId="10" xfId="0" applyNumberFormat="1" applyFont="1" applyFill="1" applyBorder="1"/>
    <xf numFmtId="164" fontId="5" fillId="0" borderId="41" xfId="0" applyNumberFormat="1" applyFont="1" applyFill="1" applyBorder="1"/>
    <xf numFmtId="0" fontId="3" fillId="0" borderId="15" xfId="0" applyFont="1" applyFill="1" applyBorder="1"/>
    <xf numFmtId="164" fontId="3" fillId="0" borderId="39" xfId="1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vertical="top" wrapText="1"/>
    </xf>
    <xf numFmtId="164" fontId="3" fillId="0" borderId="25" xfId="0" applyNumberFormat="1" applyFont="1" applyFill="1" applyBorder="1" applyAlignment="1">
      <alignment vertical="top"/>
    </xf>
    <xf numFmtId="0" fontId="3" fillId="0" borderId="25" xfId="0" applyFont="1" applyFill="1" applyBorder="1" applyAlignment="1">
      <alignment horizontal="center" vertical="top" wrapText="1"/>
    </xf>
    <xf numFmtId="164" fontId="3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34" xfId="0" applyNumberFormat="1" applyFont="1" applyFill="1" applyBorder="1" applyAlignment="1">
      <alignment vertical="top"/>
    </xf>
    <xf numFmtId="164" fontId="3" fillId="0" borderId="0" xfId="1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0" xfId="0" quotePrefix="1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0" fontId="3" fillId="0" borderId="39" xfId="1" applyFont="1" applyFill="1" applyBorder="1" applyAlignment="1">
      <alignment vertical="top"/>
    </xf>
    <xf numFmtId="0" fontId="3" fillId="0" borderId="39" xfId="1" applyFont="1" applyFill="1" applyBorder="1" applyAlignment="1">
      <alignment vertical="top" wrapText="1"/>
    </xf>
    <xf numFmtId="0" fontId="3" fillId="0" borderId="42" xfId="1" applyFont="1" applyFill="1" applyBorder="1" applyAlignment="1">
      <alignment horizontal="center" vertical="top" wrapText="1"/>
    </xf>
    <xf numFmtId="164" fontId="3" fillId="0" borderId="42" xfId="1" applyNumberFormat="1" applyFont="1" applyFill="1" applyBorder="1" applyAlignment="1">
      <alignment vertical="top"/>
    </xf>
    <xf numFmtId="164" fontId="3" fillId="0" borderId="39" xfId="1" applyNumberFormat="1" applyFont="1" applyFill="1" applyBorder="1" applyAlignment="1">
      <alignment vertical="top"/>
    </xf>
    <xf numFmtId="164" fontId="3" fillId="0" borderId="39" xfId="1" applyNumberFormat="1" applyFont="1" applyFill="1" applyBorder="1" applyAlignment="1">
      <alignment horizontal="right" vertical="top"/>
    </xf>
    <xf numFmtId="0" fontId="3" fillId="0" borderId="34" xfId="1" applyFont="1" applyFill="1" applyBorder="1" applyAlignment="1">
      <alignment horizontal="center" vertical="top"/>
    </xf>
    <xf numFmtId="164" fontId="3" fillId="0" borderId="34" xfId="1" applyNumberFormat="1" applyFont="1" applyFill="1" applyBorder="1" applyAlignment="1">
      <alignment horizontal="center" vertical="top" wrapText="1"/>
    </xf>
    <xf numFmtId="0" fontId="3" fillId="0" borderId="25" xfId="1" applyFont="1" applyFill="1" applyBorder="1" applyAlignment="1">
      <alignment wrapText="1"/>
    </xf>
    <xf numFmtId="22" fontId="3" fillId="0" borderId="0" xfId="0" applyNumberFormat="1" applyFont="1" applyFill="1" applyAlignment="1">
      <alignment horizontal="left"/>
    </xf>
    <xf numFmtId="49" fontId="3" fillId="0" borderId="27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vertical="top" wrapText="1"/>
    </xf>
    <xf numFmtId="164" fontId="3" fillId="0" borderId="37" xfId="0" applyNumberFormat="1" applyFont="1" applyFill="1" applyBorder="1"/>
    <xf numFmtId="164" fontId="3" fillId="0" borderId="34" xfId="0" applyNumberFormat="1" applyFont="1" applyFill="1" applyBorder="1" applyAlignment="1">
      <alignment vertical="top"/>
    </xf>
    <xf numFmtId="164" fontId="3" fillId="0" borderId="27" xfId="0" applyNumberFormat="1" applyFont="1" applyFill="1" applyBorder="1" applyAlignment="1"/>
    <xf numFmtId="164" fontId="3" fillId="0" borderId="34" xfId="0" applyNumberFormat="1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top" wrapText="1"/>
    </xf>
    <xf numFmtId="164" fontId="3" fillId="0" borderId="37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9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12" fillId="0" borderId="0" xfId="0" applyFont="1"/>
    <xf numFmtId="0" fontId="12" fillId="0" borderId="0" xfId="0" applyFont="1" applyBorder="1"/>
    <xf numFmtId="0" fontId="13" fillId="0" borderId="43" xfId="0" applyFont="1" applyBorder="1" applyAlignment="1">
      <alignment vertical="top"/>
    </xf>
    <xf numFmtId="1" fontId="14" fillId="0" borderId="44" xfId="0" applyNumberFormat="1" applyFont="1" applyFill="1" applyBorder="1" applyAlignment="1">
      <alignment horizontal="left"/>
    </xf>
    <xf numFmtId="1" fontId="16" fillId="0" borderId="45" xfId="4" applyNumberFormat="1" applyFont="1" applyFill="1" applyBorder="1" applyAlignment="1">
      <alignment horizontal="left" vertical="top"/>
    </xf>
    <xf numFmtId="0" fontId="13" fillId="0" borderId="46" xfId="0" applyFont="1" applyBorder="1"/>
    <xf numFmtId="0" fontId="13" fillId="0" borderId="0" xfId="0" applyFont="1" applyBorder="1"/>
    <xf numFmtId="0" fontId="17" fillId="6" borderId="0" xfId="0" applyFont="1" applyFill="1" applyBorder="1"/>
    <xf numFmtId="0" fontId="17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166" fontId="13" fillId="7" borderId="47" xfId="0" applyNumberFormat="1" applyFont="1" applyFill="1" applyBorder="1" applyAlignment="1">
      <alignment horizontal="center" vertical="top" wrapText="1"/>
    </xf>
    <xf numFmtId="166" fontId="13" fillId="8" borderId="47" xfId="0" applyNumberFormat="1" applyFont="1" applyFill="1" applyBorder="1" applyAlignment="1">
      <alignment horizontal="center" vertical="top" wrapText="1"/>
    </xf>
    <xf numFmtId="164" fontId="17" fillId="7" borderId="16" xfId="0" applyNumberFormat="1" applyFont="1" applyFill="1" applyBorder="1" applyAlignment="1">
      <alignment horizontal="right" vertical="top"/>
    </xf>
    <xf numFmtId="164" fontId="17" fillId="8" borderId="16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10" xfId="0" applyNumberFormat="1" applyFont="1" applyFill="1" applyBorder="1" applyAlignment="1">
      <alignment horizontal="right" vertical="top"/>
    </xf>
    <xf numFmtId="164" fontId="17" fillId="7" borderId="10" xfId="0" applyNumberFormat="1" applyFont="1" applyFill="1" applyBorder="1" applyAlignment="1">
      <alignment horizontal="right" vertical="top"/>
    </xf>
    <xf numFmtId="164" fontId="13" fillId="7" borderId="48" xfId="0" applyNumberFormat="1" applyFont="1" applyFill="1" applyBorder="1" applyAlignment="1">
      <alignment horizontal="right" vertical="top"/>
    </xf>
    <xf numFmtId="164" fontId="13" fillId="8" borderId="48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7" fillId="6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top"/>
    </xf>
    <xf numFmtId="166" fontId="13" fillId="0" borderId="49" xfId="0" applyNumberFormat="1" applyFont="1" applyBorder="1" applyAlignment="1">
      <alignment horizontal="center" vertical="top" wrapText="1"/>
    </xf>
    <xf numFmtId="164" fontId="17" fillId="0" borderId="50" xfId="0" applyNumberFormat="1" applyFont="1" applyFill="1" applyBorder="1" applyAlignment="1">
      <alignment horizontal="right" vertical="top"/>
    </xf>
    <xf numFmtId="164" fontId="13" fillId="0" borderId="51" xfId="0" applyNumberFormat="1" applyFont="1" applyFill="1" applyBorder="1" applyAlignment="1">
      <alignment horizontal="right" vertical="top"/>
    </xf>
    <xf numFmtId="164" fontId="9" fillId="0" borderId="12" xfId="0" applyNumberFormat="1" applyFont="1" applyFill="1" applyBorder="1"/>
    <xf numFmtId="164" fontId="9" fillId="0" borderId="9" xfId="0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0" fillId="0" borderId="8" xfId="0" applyNumberFormat="1" applyFont="1" applyFill="1" applyBorder="1"/>
    <xf numFmtId="0" fontId="3" fillId="0" borderId="0" xfId="0" applyFont="1"/>
    <xf numFmtId="0" fontId="3" fillId="0" borderId="24" xfId="0" applyFont="1" applyBorder="1"/>
    <xf numFmtId="0" fontId="3" fillId="0" borderId="31" xfId="0" applyFont="1" applyBorder="1"/>
    <xf numFmtId="0" fontId="3" fillId="0" borderId="31" xfId="0" applyFont="1" applyFill="1" applyBorder="1"/>
    <xf numFmtId="0" fontId="3" fillId="0" borderId="30" xfId="0" applyFont="1" applyBorder="1"/>
    <xf numFmtId="0" fontId="3" fillId="0" borderId="0" xfId="0" applyFont="1" applyBorder="1"/>
    <xf numFmtId="0" fontId="4" fillId="2" borderId="26" xfId="0" applyFont="1" applyFill="1" applyBorder="1"/>
    <xf numFmtId="0" fontId="3" fillId="0" borderId="0" xfId="0" applyFont="1" applyFill="1" applyBorder="1"/>
    <xf numFmtId="0" fontId="3" fillId="0" borderId="27" xfId="0" applyFont="1" applyBorder="1"/>
    <xf numFmtId="0" fontId="3" fillId="0" borderId="26" xfId="0" applyFont="1" applyBorder="1"/>
    <xf numFmtId="0" fontId="5" fillId="0" borderId="26" xfId="0" applyFont="1" applyBorder="1"/>
    <xf numFmtId="3" fontId="3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9" fontId="5" fillId="0" borderId="0" xfId="0" applyNumberFormat="1" applyFont="1" applyBorder="1"/>
    <xf numFmtId="3" fontId="3" fillId="0" borderId="0" xfId="0" applyNumberFormat="1" applyFont="1" applyFill="1" applyBorder="1"/>
    <xf numFmtId="165" fontId="5" fillId="0" borderId="0" xfId="0" applyNumberFormat="1" applyFont="1" applyBorder="1"/>
    <xf numFmtId="10" fontId="5" fillId="0" borderId="0" xfId="0" applyNumberFormat="1" applyFont="1" applyBorder="1"/>
    <xf numFmtId="0" fontId="3" fillId="0" borderId="33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21" xfId="0" applyNumberFormat="1" applyFont="1" applyBorder="1"/>
    <xf numFmtId="3" fontId="3" fillId="0" borderId="32" xfId="0" applyNumberFormat="1" applyFont="1" applyBorder="1"/>
    <xf numFmtId="0" fontId="3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Border="1" applyAlignment="1">
      <alignment horizontal="center"/>
    </xf>
    <xf numFmtId="0" fontId="5" fillId="2" borderId="26" xfId="0" applyFont="1" applyFill="1" applyBorder="1" applyAlignment="1">
      <alignment wrapText="1"/>
    </xf>
    <xf numFmtId="0" fontId="5" fillId="0" borderId="27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left"/>
    </xf>
    <xf numFmtId="0" fontId="3" fillId="0" borderId="26" xfId="0" applyFont="1" applyFill="1" applyBorder="1"/>
    <xf numFmtId="0" fontId="5" fillId="4" borderId="26" xfId="0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3" fontId="3" fillId="0" borderId="33" xfId="0" applyNumberFormat="1" applyFont="1" applyBorder="1"/>
    <xf numFmtId="0" fontId="3" fillId="0" borderId="38" xfId="0" applyFont="1" applyBorder="1" applyAlignment="1">
      <alignment wrapText="1"/>
    </xf>
    <xf numFmtId="0" fontId="3" fillId="0" borderId="0" xfId="0" applyFont="1" applyAlignment="1">
      <alignment horizontal="left"/>
    </xf>
    <xf numFmtId="167" fontId="5" fillId="0" borderId="0" xfId="0" applyNumberFormat="1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67" fontId="3" fillId="0" borderId="0" xfId="0" applyNumberFormat="1" applyFont="1" applyBorder="1"/>
    <xf numFmtId="167" fontId="3" fillId="0" borderId="0" xfId="0" applyNumberFormat="1" applyFont="1" applyFill="1" applyBorder="1"/>
    <xf numFmtId="0" fontId="5" fillId="0" borderId="26" xfId="0" applyFont="1" applyFill="1" applyBorder="1" applyAlignment="1">
      <alignment horizontal="right"/>
    </xf>
    <xf numFmtId="0" fontId="5" fillId="0" borderId="26" xfId="0" applyFont="1" applyFill="1" applyBorder="1" applyAlignment="1">
      <alignment wrapText="1"/>
    </xf>
    <xf numFmtId="164" fontId="9" fillId="5" borderId="9" xfId="0" applyNumberFormat="1" applyFont="1" applyFill="1" applyBorder="1" applyAlignment="1">
      <alignment horizontal="left" vertical="top" wrapText="1"/>
    </xf>
    <xf numFmtId="164" fontId="9" fillId="5" borderId="0" xfId="0" applyNumberFormat="1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wrapText="1"/>
    </xf>
    <xf numFmtId="0" fontId="5" fillId="0" borderId="29" xfId="1" applyFont="1" applyFill="1" applyBorder="1" applyAlignment="1">
      <alignment horizontal="center" wrapText="1"/>
    </xf>
    <xf numFmtId="164" fontId="5" fillId="0" borderId="13" xfId="1" applyNumberFormat="1" applyFont="1" applyFill="1" applyBorder="1" applyAlignment="1">
      <alignment horizontal="left"/>
    </xf>
    <xf numFmtId="164" fontId="8" fillId="0" borderId="22" xfId="1" applyNumberFormat="1" applyFill="1" applyBorder="1" applyAlignment="1">
      <alignment horizontal="left"/>
    </xf>
    <xf numFmtId="164" fontId="8" fillId="0" borderId="14" xfId="1" applyNumberFormat="1" applyFill="1" applyBorder="1" applyAlignment="1">
      <alignment horizontal="left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9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_RCS_71642_STOS Report pd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Monitoring%20SMS\2010-11\Reports\10-11%20Reports%20working%20pap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es calc"/>
      <sheetName val="Transformation savings"/>
      <sheetName val="Budgets by detail"/>
      <sheetName val="High Risk"/>
      <sheetName val="Summary"/>
      <sheetName val="workings"/>
      <sheetName val="Oct (SMT)"/>
      <sheetName val="Sept (Exec)"/>
      <sheetName val="Sept (SMS)"/>
      <sheetName val="August (SMT.1)"/>
      <sheetName val="August (SMT)"/>
      <sheetName val="July (SMT final)"/>
      <sheetName val="July SMT.2"/>
      <sheetName val="July SMT.1"/>
      <sheetName val="June (ROSP) (2)"/>
      <sheetName val="June (ROSP)"/>
      <sheetName val="May (SMT)"/>
      <sheetName val="Sheet2"/>
      <sheetName val="cfwds 101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1"/>
  <sheetViews>
    <sheetView tabSelected="1" topLeftCell="A9" zoomScale="90" zoomScaleNormal="90" workbookViewId="0">
      <selection activeCell="F13" sqref="F13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12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257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totals!B5</f>
        <v>1674600</v>
      </c>
      <c r="E9" s="16">
        <f>totals!C5</f>
        <v>0</v>
      </c>
      <c r="F9" s="16">
        <f>totals!D5</f>
        <v>-1119900</v>
      </c>
      <c r="G9" s="19">
        <f>SUM(D9:F9)</f>
        <v>554700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259</v>
      </c>
      <c r="B11" s="8"/>
      <c r="C11" s="12"/>
      <c r="D11" s="13">
        <f>totals!F5</f>
        <v>802786</v>
      </c>
      <c r="E11" s="16">
        <f>totals!G5</f>
        <v>0</v>
      </c>
      <c r="F11" s="16">
        <f>totals!H5</f>
        <v>-549124</v>
      </c>
      <c r="G11" s="19">
        <f>SUM(D11:F11)</f>
        <v>253662</v>
      </c>
      <c r="H11" s="10"/>
    </row>
    <row r="12" spans="1:8" ht="15.75">
      <c r="A12" s="13" t="s">
        <v>29</v>
      </c>
      <c r="B12" s="8"/>
      <c r="C12" s="12"/>
      <c r="D12" s="13">
        <f>totals!B19</f>
        <v>784412.79999999993</v>
      </c>
      <c r="E12" s="16">
        <f>totals!C19</f>
        <v>-2548.94</v>
      </c>
      <c r="F12" s="16">
        <f>totals!D19</f>
        <v>-545352.59</v>
      </c>
      <c r="G12" s="19">
        <f>SUM(D12:F12)</f>
        <v>236511.27000000002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-18373.20000000007</v>
      </c>
      <c r="E14" s="21">
        <f>E12-E11</f>
        <v>-2548.94</v>
      </c>
      <c r="F14" s="21">
        <f>F12-F11</f>
        <v>3771.4100000000326</v>
      </c>
      <c r="G14" s="213">
        <f>G12-G11</f>
        <v>-17150.729999999981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hidden="1" customHeight="1">
      <c r="A23" s="203"/>
      <c r="B23" s="204"/>
      <c r="C23" s="12"/>
      <c r="D23" s="16"/>
      <c r="E23" s="190"/>
      <c r="F23" s="14">
        <f>SUM(D23:E23)</f>
        <v>0</v>
      </c>
      <c r="H23" s="8"/>
      <c r="I23" s="8"/>
      <c r="J23" s="8"/>
    </row>
    <row r="24" spans="1:10" ht="15" hidden="1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267</v>
      </c>
      <c r="B25" s="204"/>
      <c r="C25" s="176">
        <v>1</v>
      </c>
      <c r="D25" s="18">
        <f>D14-SUM(D23:D24)</f>
        <v>-18373.20000000007</v>
      </c>
      <c r="E25" s="18">
        <f>E14+F14-SUM(E23:E24)</f>
        <v>1222.4700000000325</v>
      </c>
      <c r="F25" s="206">
        <f>SUM(D25:E25)</f>
        <v>-17150.730000000036</v>
      </c>
      <c r="H25" s="8"/>
      <c r="I25" s="8"/>
      <c r="J25" s="8"/>
    </row>
    <row r="26" spans="1:10" ht="6.75" customHeight="1">
      <c r="A26" s="230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29" t="s">
        <v>3</v>
      </c>
      <c r="B27" s="229"/>
      <c r="C27" s="212"/>
      <c r="D27" s="21">
        <f>SUM(D23:D25)</f>
        <v>-18373.20000000007</v>
      </c>
      <c r="E27" s="21">
        <f>SUM(E23:E25)</f>
        <v>1222.4700000000325</v>
      </c>
      <c r="F27" s="213">
        <f>SUM(F23:F25)</f>
        <v>-17150.730000000036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1" t="s">
        <v>243</v>
      </c>
      <c r="C31" s="214"/>
      <c r="D31" s="215"/>
      <c r="E31" s="215"/>
      <c r="F31" s="215"/>
      <c r="G31" s="215"/>
      <c r="H31" s="216"/>
    </row>
    <row r="32" spans="1:10" ht="9" customHeight="1">
      <c r="A32" s="228"/>
      <c r="B32" s="224"/>
      <c r="C32" s="225"/>
      <c r="D32" s="226"/>
      <c r="E32" s="226"/>
      <c r="F32" s="226"/>
      <c r="G32" s="226"/>
      <c r="H32" s="227"/>
    </row>
    <row r="33" spans="1:8">
      <c r="A33" s="207" t="s">
        <v>233</v>
      </c>
      <c r="B33" s="13" t="s">
        <v>300</v>
      </c>
      <c r="C33" s="4"/>
      <c r="D33" s="8"/>
      <c r="E33" s="8"/>
      <c r="F33" s="8"/>
      <c r="G33" s="8"/>
      <c r="H33" s="190"/>
    </row>
    <row r="34" spans="1:8" ht="15.75">
      <c r="A34" s="177"/>
      <c r="B34" s="223"/>
      <c r="C34" s="201"/>
      <c r="D34" s="6"/>
      <c r="E34" s="6"/>
      <c r="F34" s="6"/>
      <c r="G34" s="6"/>
      <c r="H34" s="173"/>
    </row>
    <row r="51" spans="2:2">
      <c r="B51" s="266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topLeftCell="B1" zoomScale="60" zoomScaleNormal="75" workbookViewId="0">
      <selection activeCell="E74" sqref="E74:F74"/>
    </sheetView>
  </sheetViews>
  <sheetFormatPr defaultColWidth="9.140625" defaultRowHeight="15"/>
  <cols>
    <col min="1" max="1" width="21.85546875" style="28" hidden="1" customWidth="1"/>
    <col min="2" max="2" width="25.85546875" style="30" customWidth="1"/>
    <col min="3" max="3" width="82.140625" style="30" customWidth="1"/>
    <col min="4" max="4" width="15.5703125" style="31" hidden="1" customWidth="1"/>
    <col min="5" max="5" width="13" style="32" customWidth="1"/>
    <col min="6" max="7" width="9.85546875" style="32" customWidth="1"/>
    <col min="8" max="8" width="12.85546875" style="32" customWidth="1"/>
    <col min="9" max="9" width="1.42578125" style="33" customWidth="1"/>
    <col min="10" max="10" width="13.28515625" style="32" hidden="1" customWidth="1"/>
    <col min="11" max="11" width="19.42578125" style="31" hidden="1" customWidth="1"/>
    <col min="12" max="12" width="21.140625" style="31" hidden="1" customWidth="1"/>
    <col min="13" max="13" width="18.7109375" style="32" hidden="1" customWidth="1"/>
    <col min="14" max="14" width="11.5703125" style="34" hidden="1" customWidth="1"/>
    <col min="15" max="15" width="15.28515625" style="35" hidden="1" customWidth="1"/>
    <col min="16" max="16" width="11.5703125" style="241" bestFit="1" customWidth="1"/>
    <col min="17" max="17" width="13.28515625" style="30" customWidth="1"/>
    <col min="18" max="16384" width="9.140625" style="30"/>
  </cols>
  <sheetData>
    <row r="1" spans="1:16" ht="15" customHeight="1">
      <c r="B1" s="29" t="s">
        <v>63</v>
      </c>
    </row>
    <row r="2" spans="1:16" ht="15" customHeight="1" thickBot="1">
      <c r="A2" s="36"/>
      <c r="H2" s="37"/>
    </row>
    <row r="3" spans="1:16" ht="48" customHeight="1" thickBot="1">
      <c r="A3" s="38"/>
      <c r="B3" s="39"/>
      <c r="C3" s="39"/>
      <c r="D3" s="362" t="s">
        <v>64</v>
      </c>
      <c r="E3" s="365" t="s">
        <v>40</v>
      </c>
      <c r="F3" s="366"/>
      <c r="G3" s="367"/>
      <c r="H3" s="40" t="s">
        <v>0</v>
      </c>
      <c r="I3" s="41"/>
      <c r="J3" s="368" t="s">
        <v>252</v>
      </c>
      <c r="K3" s="42"/>
      <c r="L3" s="42"/>
      <c r="M3" s="368" t="s">
        <v>65</v>
      </c>
      <c r="N3" s="278" t="s">
        <v>66</v>
      </c>
      <c r="O3" s="368" t="s">
        <v>67</v>
      </c>
      <c r="P3" s="242" t="s">
        <v>66</v>
      </c>
    </row>
    <row r="4" spans="1:16" ht="16.5" thickBot="1">
      <c r="A4" s="43" t="s">
        <v>34</v>
      </c>
      <c r="B4" s="44" t="s">
        <v>68</v>
      </c>
      <c r="C4" s="44" t="s">
        <v>35</v>
      </c>
      <c r="D4" s="363"/>
      <c r="E4" s="45" t="s">
        <v>69</v>
      </c>
      <c r="F4" s="46" t="s">
        <v>70</v>
      </c>
      <c r="G4" s="46" t="s">
        <v>71</v>
      </c>
      <c r="H4" s="41"/>
      <c r="I4" s="41"/>
      <c r="J4" s="369"/>
      <c r="K4" s="47" t="s">
        <v>72</v>
      </c>
      <c r="L4" s="47" t="s">
        <v>73</v>
      </c>
      <c r="M4" s="369"/>
      <c r="N4" s="279"/>
      <c r="O4" s="369"/>
      <c r="P4" s="243"/>
    </row>
    <row r="5" spans="1:16" ht="16.5" thickBot="1">
      <c r="A5" s="48"/>
      <c r="B5" s="49"/>
      <c r="C5" s="49"/>
      <c r="D5" s="364"/>
      <c r="E5" s="45" t="s">
        <v>5</v>
      </c>
      <c r="F5" s="50" t="s">
        <v>5</v>
      </c>
      <c r="G5" s="50" t="s">
        <v>5</v>
      </c>
      <c r="H5" s="50" t="s">
        <v>5</v>
      </c>
      <c r="I5" s="51"/>
      <c r="J5" s="50" t="s">
        <v>5</v>
      </c>
      <c r="K5" s="52"/>
      <c r="L5" s="52"/>
      <c r="M5" s="50" t="s">
        <v>5</v>
      </c>
      <c r="N5" s="50"/>
      <c r="O5" s="53" t="s">
        <v>5</v>
      </c>
      <c r="P5" s="244"/>
    </row>
    <row r="6" spans="1:16" ht="15" customHeight="1">
      <c r="A6" s="54"/>
      <c r="B6" s="55" t="s">
        <v>17</v>
      </c>
      <c r="C6" s="56"/>
      <c r="D6" s="57"/>
      <c r="E6" s="58"/>
      <c r="F6" s="58"/>
      <c r="G6" s="58"/>
      <c r="H6" s="59"/>
      <c r="I6" s="59"/>
      <c r="J6" s="59"/>
      <c r="K6" s="60"/>
      <c r="L6" s="60"/>
      <c r="M6" s="61"/>
      <c r="N6" s="59"/>
      <c r="O6" s="62"/>
      <c r="P6" s="245"/>
    </row>
    <row r="7" spans="1:16" ht="15" customHeight="1">
      <c r="A7" s="54" t="s">
        <v>74</v>
      </c>
      <c r="B7" s="55"/>
      <c r="C7" s="56"/>
      <c r="D7" s="57"/>
      <c r="E7" s="58">
        <v>175600</v>
      </c>
      <c r="F7" s="58"/>
      <c r="G7" s="58"/>
      <c r="H7" s="61">
        <f t="shared" ref="H7:H13" si="0">SUM(E7:G7)</f>
        <v>175600</v>
      </c>
      <c r="I7" s="59"/>
      <c r="J7" s="59"/>
      <c r="K7" s="60"/>
      <c r="L7" s="60"/>
      <c r="M7" s="61"/>
      <c r="N7" s="59"/>
      <c r="O7" s="62"/>
      <c r="P7" s="245"/>
    </row>
    <row r="8" spans="1:16" ht="15" customHeight="1">
      <c r="A8" s="54" t="s">
        <v>41</v>
      </c>
      <c r="B8" s="55"/>
      <c r="C8" s="56"/>
      <c r="D8" s="57"/>
      <c r="E8" s="58">
        <v>80500</v>
      </c>
      <c r="F8" s="58"/>
      <c r="G8" s="58"/>
      <c r="H8" s="61">
        <f t="shared" si="0"/>
        <v>80500</v>
      </c>
      <c r="I8" s="59"/>
      <c r="J8" s="59"/>
      <c r="K8" s="60"/>
      <c r="L8" s="60"/>
      <c r="M8" s="61"/>
      <c r="N8" s="59"/>
      <c r="O8" s="62"/>
      <c r="P8" s="245"/>
    </row>
    <row r="9" spans="1:16" ht="15" customHeight="1">
      <c r="A9" s="54" t="s">
        <v>75</v>
      </c>
      <c r="B9" s="55"/>
      <c r="C9" s="56"/>
      <c r="D9" s="57"/>
      <c r="E9" s="58">
        <v>444</v>
      </c>
      <c r="F9" s="58"/>
      <c r="G9" s="58"/>
      <c r="H9" s="61">
        <f t="shared" si="0"/>
        <v>444</v>
      </c>
      <c r="I9" s="59"/>
      <c r="J9" s="59"/>
      <c r="K9" s="60"/>
      <c r="L9" s="60"/>
      <c r="M9" s="61"/>
      <c r="N9" s="59"/>
      <c r="O9" s="62"/>
      <c r="P9" s="245"/>
    </row>
    <row r="10" spans="1:16" ht="15" customHeight="1">
      <c r="A10" s="54" t="s">
        <v>76</v>
      </c>
      <c r="B10" s="55"/>
      <c r="C10" s="56"/>
      <c r="D10" s="57"/>
      <c r="E10" s="58">
        <v>528</v>
      </c>
      <c r="F10" s="58"/>
      <c r="G10" s="58"/>
      <c r="H10" s="61">
        <f t="shared" si="0"/>
        <v>528</v>
      </c>
      <c r="I10" s="59"/>
      <c r="J10" s="59"/>
      <c r="K10" s="60"/>
      <c r="L10" s="60"/>
      <c r="M10" s="61"/>
      <c r="N10" s="59"/>
      <c r="O10" s="62"/>
      <c r="P10" s="245"/>
    </row>
    <row r="11" spans="1:16" ht="15" customHeight="1">
      <c r="A11" s="54" t="s">
        <v>77</v>
      </c>
      <c r="B11" s="55"/>
      <c r="C11" s="56"/>
      <c r="D11" s="57"/>
      <c r="E11" s="58">
        <v>3664</v>
      </c>
      <c r="F11" s="58"/>
      <c r="G11" s="58"/>
      <c r="H11" s="61">
        <f t="shared" si="0"/>
        <v>3664</v>
      </c>
      <c r="I11" s="59"/>
      <c r="J11" s="59"/>
      <c r="K11" s="60"/>
      <c r="L11" s="60"/>
      <c r="M11" s="61"/>
      <c r="N11" s="59"/>
      <c r="O11" s="62"/>
      <c r="P11" s="245"/>
    </row>
    <row r="12" spans="1:16" ht="15" customHeight="1">
      <c r="A12" s="54" t="s">
        <v>78</v>
      </c>
      <c r="B12" s="55"/>
      <c r="C12" s="56"/>
      <c r="D12" s="57"/>
      <c r="E12" s="58">
        <v>5814</v>
      </c>
      <c r="F12" s="58"/>
      <c r="G12" s="58"/>
      <c r="H12" s="61">
        <f t="shared" si="0"/>
        <v>5814</v>
      </c>
      <c r="I12" s="59"/>
      <c r="J12" s="59"/>
      <c r="K12" s="60"/>
      <c r="L12" s="60"/>
      <c r="M12" s="61"/>
      <c r="N12" s="59"/>
      <c r="O12" s="62"/>
      <c r="P12" s="245"/>
    </row>
    <row r="13" spans="1:16" ht="15" customHeight="1">
      <c r="A13" s="54" t="s">
        <v>79</v>
      </c>
      <c r="B13" s="55"/>
      <c r="C13" s="56"/>
      <c r="D13" s="57"/>
      <c r="E13" s="58">
        <v>2199</v>
      </c>
      <c r="F13" s="58"/>
      <c r="G13" s="58"/>
      <c r="H13" s="61">
        <f t="shared" si="0"/>
        <v>2199</v>
      </c>
      <c r="I13" s="59"/>
      <c r="J13" s="59"/>
      <c r="K13" s="60"/>
      <c r="L13" s="60"/>
      <c r="M13" s="61"/>
      <c r="N13" s="59"/>
      <c r="O13" s="62"/>
      <c r="P13" s="245"/>
    </row>
    <row r="14" spans="1:16" ht="30.75" thickBot="1">
      <c r="A14" s="54"/>
      <c r="B14" s="56"/>
      <c r="C14" s="265" t="s">
        <v>255</v>
      </c>
      <c r="D14" s="57" t="s">
        <v>80</v>
      </c>
      <c r="E14" s="63">
        <f>SUM(E7:E13)-49</f>
        <v>268700</v>
      </c>
      <c r="F14" s="58">
        <f>SUM(F7:F13)</f>
        <v>0</v>
      </c>
      <c r="G14" s="58">
        <f>SUM(G7:G13)</f>
        <v>0</v>
      </c>
      <c r="H14" s="61">
        <f>SUM(H7:H13)-49</f>
        <v>268700</v>
      </c>
      <c r="I14" s="61"/>
      <c r="J14" s="61">
        <v>269700</v>
      </c>
      <c r="K14" s="60"/>
      <c r="L14" s="60"/>
      <c r="M14" s="61">
        <v>153400</v>
      </c>
      <c r="N14" s="59" t="s">
        <v>81</v>
      </c>
      <c r="O14" s="62"/>
      <c r="P14" s="245" t="s">
        <v>93</v>
      </c>
    </row>
    <row r="15" spans="1:16" ht="16.5" thickBot="1">
      <c r="A15" s="64"/>
      <c r="B15" s="65"/>
      <c r="C15" s="65"/>
      <c r="D15" s="66"/>
      <c r="E15" s="67">
        <f>E14</f>
        <v>268700</v>
      </c>
      <c r="F15" s="67">
        <f>F14</f>
        <v>0</v>
      </c>
      <c r="G15" s="67">
        <f>G14</f>
        <v>0</v>
      </c>
      <c r="H15" s="67">
        <f>H14</f>
        <v>268700</v>
      </c>
      <c r="I15" s="68"/>
      <c r="J15" s="67">
        <f>J14</f>
        <v>269700</v>
      </c>
      <c r="K15" s="69"/>
      <c r="L15" s="69"/>
      <c r="M15" s="70">
        <f>SUM(M7:M14)</f>
        <v>153400</v>
      </c>
      <c r="N15" s="69"/>
      <c r="O15" s="71"/>
      <c r="P15" s="246"/>
    </row>
    <row r="16" spans="1:16" ht="15" customHeight="1">
      <c r="A16" s="164"/>
      <c r="B16" s="39" t="s">
        <v>11</v>
      </c>
      <c r="C16" s="86"/>
      <c r="D16" s="87"/>
      <c r="E16" s="88"/>
      <c r="F16" s="88"/>
      <c r="G16" s="88"/>
      <c r="H16" s="72"/>
      <c r="I16" s="72"/>
      <c r="J16" s="89"/>
      <c r="K16" s="60"/>
      <c r="L16" s="60"/>
      <c r="M16" s="90"/>
      <c r="N16" s="91"/>
      <c r="O16" s="92"/>
      <c r="P16" s="247"/>
    </row>
    <row r="17" spans="1:17" s="98" customFormat="1" ht="45">
      <c r="A17" s="165" t="s">
        <v>99</v>
      </c>
      <c r="B17" s="128" t="s">
        <v>100</v>
      </c>
      <c r="C17" s="128" t="s">
        <v>101</v>
      </c>
      <c r="D17" s="129" t="s">
        <v>102</v>
      </c>
      <c r="E17" s="138">
        <v>19600</v>
      </c>
      <c r="F17" s="138">
        <v>0</v>
      </c>
      <c r="G17" s="138">
        <v>0</v>
      </c>
      <c r="H17" s="131">
        <f t="shared" ref="H17:H31" si="1">SUM(E17:G17)</f>
        <v>19600</v>
      </c>
      <c r="I17" s="94"/>
      <c r="J17" s="94">
        <v>14600</v>
      </c>
      <c r="K17" s="95" t="s">
        <v>103</v>
      </c>
      <c r="L17" s="95" t="s">
        <v>104</v>
      </c>
      <c r="M17" s="139">
        <v>0</v>
      </c>
      <c r="N17" s="97" t="s">
        <v>93</v>
      </c>
      <c r="O17" s="83" t="s">
        <v>30</v>
      </c>
      <c r="P17" s="97" t="s">
        <v>93</v>
      </c>
      <c r="Q17" s="240"/>
    </row>
    <row r="18" spans="1:17" s="84" customFormat="1" ht="30">
      <c r="A18" s="166" t="s">
        <v>105</v>
      </c>
      <c r="B18" s="132" t="s">
        <v>33</v>
      </c>
      <c r="C18" s="132" t="s">
        <v>106</v>
      </c>
      <c r="D18" s="133" t="s">
        <v>102</v>
      </c>
      <c r="E18" s="134">
        <f>8479+21</f>
        <v>8500</v>
      </c>
      <c r="F18" s="134"/>
      <c r="G18" s="134"/>
      <c r="H18" s="140">
        <f t="shared" si="1"/>
        <v>8500</v>
      </c>
      <c r="I18" s="79"/>
      <c r="J18" s="140">
        <v>8500</v>
      </c>
      <c r="K18" s="81" t="s">
        <v>103</v>
      </c>
      <c r="L18" s="81" t="s">
        <v>104</v>
      </c>
      <c r="M18" s="137">
        <v>0</v>
      </c>
      <c r="N18" s="83" t="s">
        <v>93</v>
      </c>
      <c r="O18" s="83" t="s">
        <v>107</v>
      </c>
      <c r="P18" s="255" t="s">
        <v>93</v>
      </c>
      <c r="Q18" s="240"/>
    </row>
    <row r="19" spans="1:17" s="98" customFormat="1">
      <c r="A19" s="93" t="s">
        <v>42</v>
      </c>
      <c r="B19" s="77"/>
      <c r="C19" s="77"/>
      <c r="D19" s="78"/>
      <c r="E19" s="94">
        <f>24900</f>
        <v>24900</v>
      </c>
      <c r="F19" s="94"/>
      <c r="G19" s="94"/>
      <c r="H19" s="80">
        <f t="shared" si="1"/>
        <v>24900</v>
      </c>
      <c r="I19" s="94"/>
      <c r="J19" s="94">
        <v>22200</v>
      </c>
      <c r="K19" s="95"/>
      <c r="L19" s="95"/>
      <c r="M19" s="96"/>
      <c r="N19" s="97"/>
      <c r="O19" s="83"/>
      <c r="P19" s="248"/>
    </row>
    <row r="20" spans="1:17" s="98" customFormat="1">
      <c r="A20" s="93" t="s">
        <v>36</v>
      </c>
      <c r="B20" s="77"/>
      <c r="C20" s="77"/>
      <c r="D20" s="78"/>
      <c r="E20" s="94">
        <v>18500</v>
      </c>
      <c r="F20" s="94"/>
      <c r="G20" s="94"/>
      <c r="H20" s="80">
        <f t="shared" si="1"/>
        <v>18500</v>
      </c>
      <c r="I20" s="94"/>
      <c r="J20" s="94">
        <v>20100</v>
      </c>
      <c r="K20" s="95"/>
      <c r="L20" s="95"/>
      <c r="M20" s="96"/>
      <c r="N20" s="97"/>
      <c r="O20" s="83"/>
      <c r="P20" s="248"/>
    </row>
    <row r="21" spans="1:17" s="84" customFormat="1" ht="30">
      <c r="A21" s="168"/>
      <c r="B21" s="128" t="s">
        <v>43</v>
      </c>
      <c r="C21" s="128" t="s">
        <v>108</v>
      </c>
      <c r="D21" s="129" t="s">
        <v>102</v>
      </c>
      <c r="E21" s="130">
        <f>SUM(E19:E20)</f>
        <v>43400</v>
      </c>
      <c r="F21" s="130">
        <f>SUM(F19:F20)</f>
        <v>0</v>
      </c>
      <c r="G21" s="130">
        <f>SUM(G19:G20)</f>
        <v>0</v>
      </c>
      <c r="H21" s="144">
        <f>SUM(H19:H20)</f>
        <v>43400</v>
      </c>
      <c r="I21" s="79"/>
      <c r="J21" s="140">
        <f>SUM(J19:J20)</f>
        <v>42300</v>
      </c>
      <c r="K21" s="81" t="s">
        <v>103</v>
      </c>
      <c r="L21" s="81" t="s">
        <v>104</v>
      </c>
      <c r="M21" s="136">
        <f>67500+24400</f>
        <v>91900</v>
      </c>
      <c r="N21" s="83" t="s">
        <v>109</v>
      </c>
      <c r="O21" s="83" t="s">
        <v>102</v>
      </c>
      <c r="P21" s="267" t="s">
        <v>93</v>
      </c>
    </row>
    <row r="22" spans="1:17" s="84" customFormat="1" ht="30">
      <c r="A22" s="166" t="s">
        <v>44</v>
      </c>
      <c r="B22" s="132" t="s">
        <v>110</v>
      </c>
      <c r="C22" s="132" t="s">
        <v>111</v>
      </c>
      <c r="D22" s="133" t="s">
        <v>80</v>
      </c>
      <c r="E22" s="134">
        <v>15900</v>
      </c>
      <c r="F22" s="134"/>
      <c r="G22" s="134"/>
      <c r="H22" s="140">
        <f>SUM(E22:G22)</f>
        <v>15900</v>
      </c>
      <c r="I22" s="79"/>
      <c r="J22" s="140">
        <v>15900</v>
      </c>
      <c r="K22" s="81"/>
      <c r="L22" s="81" t="s">
        <v>112</v>
      </c>
      <c r="M22" s="137">
        <v>18400</v>
      </c>
      <c r="N22" s="83" t="s">
        <v>81</v>
      </c>
      <c r="O22" s="83" t="s">
        <v>102</v>
      </c>
      <c r="P22" s="249" t="s">
        <v>93</v>
      </c>
    </row>
    <row r="23" spans="1:17" s="84" customFormat="1" ht="30">
      <c r="A23" s="166" t="s">
        <v>113</v>
      </c>
      <c r="B23" s="132" t="s">
        <v>114</v>
      </c>
      <c r="C23" s="132" t="s">
        <v>115</v>
      </c>
      <c r="D23" s="133" t="s">
        <v>80</v>
      </c>
      <c r="E23" s="134">
        <v>175000</v>
      </c>
      <c r="F23" s="134"/>
      <c r="G23" s="134"/>
      <c r="H23" s="140">
        <f t="shared" si="1"/>
        <v>175000</v>
      </c>
      <c r="I23" s="79"/>
      <c r="J23" s="140">
        <v>175000</v>
      </c>
      <c r="K23" s="81"/>
      <c r="L23" s="81" t="s">
        <v>116</v>
      </c>
      <c r="M23" s="137">
        <v>0</v>
      </c>
      <c r="N23" s="83" t="s">
        <v>93</v>
      </c>
      <c r="O23" s="83" t="s">
        <v>117</v>
      </c>
      <c r="P23" s="97" t="s">
        <v>93</v>
      </c>
      <c r="Q23" s="240"/>
    </row>
    <row r="24" spans="1:17" s="84" customFormat="1" ht="30">
      <c r="A24" s="166" t="s">
        <v>118</v>
      </c>
      <c r="B24" s="132" t="s">
        <v>119</v>
      </c>
      <c r="C24" s="132" t="s">
        <v>120</v>
      </c>
      <c r="D24" s="133" t="s">
        <v>80</v>
      </c>
      <c r="E24" s="134">
        <f>14948-48</f>
        <v>14900</v>
      </c>
      <c r="F24" s="134"/>
      <c r="G24" s="134"/>
      <c r="H24" s="140">
        <f t="shared" si="1"/>
        <v>14900</v>
      </c>
      <c r="I24" s="79"/>
      <c r="J24" s="140">
        <v>14900</v>
      </c>
      <c r="K24" s="81" t="s">
        <v>103</v>
      </c>
      <c r="L24" s="81" t="s">
        <v>104</v>
      </c>
      <c r="M24" s="160">
        <v>0</v>
      </c>
      <c r="N24" s="83" t="s">
        <v>93</v>
      </c>
      <c r="O24" s="83" t="s">
        <v>30</v>
      </c>
      <c r="P24" s="256" t="s">
        <v>93</v>
      </c>
      <c r="Q24" s="240"/>
    </row>
    <row r="25" spans="1:17" s="98" customFormat="1" ht="30">
      <c r="A25" s="167" t="s">
        <v>121</v>
      </c>
      <c r="B25" s="141" t="s">
        <v>122</v>
      </c>
      <c r="C25" s="132" t="s">
        <v>123</v>
      </c>
      <c r="D25" s="145" t="s">
        <v>102</v>
      </c>
      <c r="E25" s="142">
        <f>141800-4153.12-47</f>
        <v>137599.88</v>
      </c>
      <c r="F25" s="142"/>
      <c r="G25" s="142"/>
      <c r="H25" s="135">
        <f t="shared" si="1"/>
        <v>137599.88</v>
      </c>
      <c r="I25" s="94"/>
      <c r="J25" s="135">
        <v>137600</v>
      </c>
      <c r="K25" s="95" t="s">
        <v>103</v>
      </c>
      <c r="L25" s="95" t="s">
        <v>104</v>
      </c>
      <c r="M25" s="143">
        <v>0</v>
      </c>
      <c r="N25" s="162" t="s">
        <v>93</v>
      </c>
      <c r="O25" s="163" t="s">
        <v>124</v>
      </c>
      <c r="P25" s="162" t="s">
        <v>93</v>
      </c>
      <c r="Q25" s="240"/>
    </row>
    <row r="26" spans="1:17" ht="30">
      <c r="A26" s="169" t="s">
        <v>125</v>
      </c>
      <c r="B26" s="146" t="s">
        <v>122</v>
      </c>
      <c r="C26" s="147" t="s">
        <v>126</v>
      </c>
      <c r="D26" s="145" t="s">
        <v>102</v>
      </c>
      <c r="E26" s="148">
        <f>-137647+47</f>
        <v>-137600</v>
      </c>
      <c r="F26" s="148"/>
      <c r="G26" s="148"/>
      <c r="H26" s="149">
        <f t="shared" si="1"/>
        <v>-137600</v>
      </c>
      <c r="I26" s="73"/>
      <c r="J26" s="149">
        <v>-137600</v>
      </c>
      <c r="K26" s="60" t="s">
        <v>103</v>
      </c>
      <c r="L26" s="60" t="s">
        <v>104</v>
      </c>
      <c r="M26" s="161">
        <v>0</v>
      </c>
      <c r="N26" s="74" t="s">
        <v>93</v>
      </c>
      <c r="O26" s="75" t="s">
        <v>124</v>
      </c>
      <c r="P26" s="171" t="s">
        <v>93</v>
      </c>
      <c r="Q26" s="240"/>
    </row>
    <row r="27" spans="1:17" s="98" customFormat="1" ht="30">
      <c r="A27" s="167" t="s">
        <v>127</v>
      </c>
      <c r="B27" s="141" t="s">
        <v>62</v>
      </c>
      <c r="C27" s="132" t="s">
        <v>128</v>
      </c>
      <c r="D27" s="145" t="s">
        <v>80</v>
      </c>
      <c r="E27" s="142">
        <v>20200</v>
      </c>
      <c r="F27" s="142"/>
      <c r="G27" s="142"/>
      <c r="H27" s="135">
        <f t="shared" si="1"/>
        <v>20200</v>
      </c>
      <c r="I27" s="94"/>
      <c r="J27" s="135">
        <v>20200</v>
      </c>
      <c r="K27" s="95"/>
      <c r="L27" s="95" t="s">
        <v>112</v>
      </c>
      <c r="M27" s="143">
        <v>0</v>
      </c>
      <c r="N27" s="97" t="s">
        <v>93</v>
      </c>
      <c r="O27" s="83" t="s">
        <v>129</v>
      </c>
      <c r="P27" s="97" t="s">
        <v>93</v>
      </c>
      <c r="Q27" s="240"/>
    </row>
    <row r="28" spans="1:17" s="84" customFormat="1" ht="30">
      <c r="A28" s="166" t="s">
        <v>130</v>
      </c>
      <c r="B28" s="132" t="s">
        <v>131</v>
      </c>
      <c r="C28" s="132" t="s">
        <v>132</v>
      </c>
      <c r="D28" s="133" t="s">
        <v>80</v>
      </c>
      <c r="E28" s="134">
        <f>2023-23</f>
        <v>2000</v>
      </c>
      <c r="F28" s="134"/>
      <c r="G28" s="134"/>
      <c r="H28" s="135">
        <f t="shared" si="1"/>
        <v>2000</v>
      </c>
      <c r="I28" s="79"/>
      <c r="J28" s="140">
        <v>2000</v>
      </c>
      <c r="K28" s="81"/>
      <c r="L28" s="81" t="s">
        <v>112</v>
      </c>
      <c r="M28" s="137">
        <v>0</v>
      </c>
      <c r="N28" s="83" t="s">
        <v>81</v>
      </c>
      <c r="O28" s="83" t="s">
        <v>124</v>
      </c>
      <c r="P28" s="249" t="s">
        <v>93</v>
      </c>
    </row>
    <row r="29" spans="1:17" s="84" customFormat="1" ht="30.75">
      <c r="A29" s="166" t="s">
        <v>133</v>
      </c>
      <c r="B29" s="132" t="s">
        <v>134</v>
      </c>
      <c r="C29" s="132" t="s">
        <v>135</v>
      </c>
      <c r="D29" s="133" t="s">
        <v>80</v>
      </c>
      <c r="E29" s="134">
        <f>90432-32</f>
        <v>90400</v>
      </c>
      <c r="F29" s="134"/>
      <c r="G29" s="134"/>
      <c r="H29" s="140">
        <f t="shared" si="1"/>
        <v>90400</v>
      </c>
      <c r="I29" s="79"/>
      <c r="J29" s="140">
        <v>88300</v>
      </c>
      <c r="K29" s="81" t="s">
        <v>136</v>
      </c>
      <c r="L29" s="81" t="s">
        <v>87</v>
      </c>
      <c r="M29" s="137">
        <v>0</v>
      </c>
      <c r="N29" s="83" t="s">
        <v>93</v>
      </c>
      <c r="O29" s="83" t="s">
        <v>102</v>
      </c>
      <c r="P29" s="97" t="s">
        <v>93</v>
      </c>
      <c r="Q29" s="240"/>
    </row>
    <row r="30" spans="1:17" s="84" customFormat="1" ht="30">
      <c r="A30" s="166" t="s">
        <v>137</v>
      </c>
      <c r="B30" s="132" t="s">
        <v>138</v>
      </c>
      <c r="C30" s="132" t="s">
        <v>139</v>
      </c>
      <c r="D30" s="133" t="s">
        <v>80</v>
      </c>
      <c r="E30" s="134">
        <v>1800</v>
      </c>
      <c r="F30" s="134"/>
      <c r="G30" s="134"/>
      <c r="H30" s="140">
        <f t="shared" si="1"/>
        <v>1800</v>
      </c>
      <c r="I30" s="79"/>
      <c r="J30" s="140">
        <v>1800</v>
      </c>
      <c r="K30" s="81"/>
      <c r="L30" s="81" t="s">
        <v>112</v>
      </c>
      <c r="M30" s="137">
        <v>0</v>
      </c>
      <c r="N30" s="83" t="s">
        <v>93</v>
      </c>
      <c r="O30" s="83" t="s">
        <v>102</v>
      </c>
      <c r="P30" s="255" t="s">
        <v>93</v>
      </c>
      <c r="Q30" s="240"/>
    </row>
    <row r="31" spans="1:17" s="84" customFormat="1" ht="30.75" thickBot="1">
      <c r="A31" s="166" t="s">
        <v>140</v>
      </c>
      <c r="B31" s="132" t="s">
        <v>24</v>
      </c>
      <c r="C31" s="132" t="s">
        <v>141</v>
      </c>
      <c r="D31" s="159" t="s">
        <v>102</v>
      </c>
      <c r="E31" s="79"/>
      <c r="F31" s="79">
        <v>29000</v>
      </c>
      <c r="G31" s="79"/>
      <c r="H31" s="99">
        <f t="shared" si="1"/>
        <v>29000</v>
      </c>
      <c r="I31" s="79"/>
      <c r="J31" s="79">
        <v>29000</v>
      </c>
      <c r="K31" s="81" t="s">
        <v>142</v>
      </c>
      <c r="L31" s="81" t="s">
        <v>104</v>
      </c>
      <c r="M31" s="82">
        <v>33100</v>
      </c>
      <c r="N31" s="83" t="s">
        <v>93</v>
      </c>
      <c r="O31" s="83" t="s">
        <v>143</v>
      </c>
      <c r="P31" s="97" t="s">
        <v>93</v>
      </c>
      <c r="Q31" s="240"/>
    </row>
    <row r="32" spans="1:17" ht="16.5" thickBot="1">
      <c r="A32" s="85"/>
      <c r="B32" s="65"/>
      <c r="C32" s="65"/>
      <c r="D32" s="66"/>
      <c r="E32" s="67">
        <f>SUM(E17:E31)-E19-E20</f>
        <v>391699.88</v>
      </c>
      <c r="F32" s="67">
        <f>SUM(F17:F31)-F19-F20</f>
        <v>29000</v>
      </c>
      <c r="G32" s="67">
        <f>SUM(G17:G31)-G19-G20</f>
        <v>0</v>
      </c>
      <c r="H32" s="67">
        <f>SUM(H17:H31)-H19-H20</f>
        <v>420699.88</v>
      </c>
      <c r="I32" s="68"/>
      <c r="J32" s="67">
        <f>SUM(J17:J31)-J19-J20</f>
        <v>412500</v>
      </c>
      <c r="K32" s="69"/>
      <c r="L32" s="69"/>
      <c r="M32" s="70">
        <f>SUM(M17:M31)-M19-M20</f>
        <v>143400</v>
      </c>
      <c r="N32" s="69"/>
      <c r="O32" s="71"/>
      <c r="P32" s="246"/>
    </row>
    <row r="33" spans="1:17" ht="18" customHeight="1">
      <c r="A33" s="54"/>
      <c r="B33" s="44" t="s">
        <v>9</v>
      </c>
      <c r="C33" s="56"/>
      <c r="D33" s="57"/>
      <c r="E33" s="58"/>
      <c r="F33" s="58"/>
      <c r="G33" s="58"/>
      <c r="H33" s="72"/>
      <c r="I33" s="72"/>
      <c r="J33" s="72"/>
      <c r="K33" s="60"/>
      <c r="L33" s="60"/>
      <c r="M33" s="61"/>
      <c r="N33" s="59"/>
      <c r="O33" s="62"/>
      <c r="P33" s="247"/>
    </row>
    <row r="34" spans="1:17" s="277" customFormat="1" ht="45" customHeight="1">
      <c r="A34" s="239" t="s">
        <v>82</v>
      </c>
      <c r="B34" s="268" t="s">
        <v>253</v>
      </c>
      <c r="C34" s="268" t="s">
        <v>85</v>
      </c>
      <c r="D34" s="269" t="s">
        <v>80</v>
      </c>
      <c r="E34" s="270">
        <v>31000</v>
      </c>
      <c r="F34" s="271"/>
      <c r="G34" s="271"/>
      <c r="H34" s="272">
        <f t="shared" ref="H34:H35" si="2">SUM(E34:G34)</f>
        <v>31000</v>
      </c>
      <c r="I34" s="273"/>
      <c r="J34" s="274">
        <v>31000</v>
      </c>
      <c r="K34" s="275" t="s">
        <v>86</v>
      </c>
      <c r="L34" s="275" t="s">
        <v>87</v>
      </c>
      <c r="M34" s="276">
        <f>SUM(M33:M33)</f>
        <v>0</v>
      </c>
      <c r="N34" s="158" t="s">
        <v>88</v>
      </c>
      <c r="O34" s="158" t="s">
        <v>89</v>
      </c>
      <c r="P34" s="249" t="s">
        <v>88</v>
      </c>
    </row>
    <row r="35" spans="1:17" s="238" customFormat="1" ht="45" customHeight="1">
      <c r="A35" s="239" t="s">
        <v>83</v>
      </c>
      <c r="B35" s="232" t="s">
        <v>84</v>
      </c>
      <c r="C35" s="232" t="s">
        <v>254</v>
      </c>
      <c r="D35" s="237" t="s">
        <v>80</v>
      </c>
      <c r="E35" s="233">
        <v>9500</v>
      </c>
      <c r="F35" s="233">
        <f>SUM(F34:F34)</f>
        <v>0</v>
      </c>
      <c r="G35" s="233">
        <f>SUM(G34:G34)</f>
        <v>0</v>
      </c>
      <c r="H35" s="234">
        <f t="shared" si="2"/>
        <v>9500</v>
      </c>
      <c r="I35" s="233"/>
      <c r="J35" s="233">
        <v>9500</v>
      </c>
      <c r="K35" s="235" t="s">
        <v>86</v>
      </c>
      <c r="L35" s="235" t="s">
        <v>87</v>
      </c>
      <c r="M35" s="236">
        <f>SUM(M34:M34)</f>
        <v>0</v>
      </c>
      <c r="N35" s="158" t="s">
        <v>93</v>
      </c>
      <c r="O35" s="158" t="s">
        <v>89</v>
      </c>
      <c r="P35" s="255" t="s">
        <v>93</v>
      </c>
      <c r="Q35" s="240"/>
    </row>
    <row r="36" spans="1:17" s="84" customFormat="1" ht="45">
      <c r="A36" s="168" t="s">
        <v>90</v>
      </c>
      <c r="B36" s="132" t="s">
        <v>91</v>
      </c>
      <c r="C36" s="132" t="s">
        <v>92</v>
      </c>
      <c r="D36" s="133" t="s">
        <v>80</v>
      </c>
      <c r="E36" s="134">
        <v>100000</v>
      </c>
      <c r="F36" s="134"/>
      <c r="G36" s="134"/>
      <c r="H36" s="135">
        <f>SUM(E36:G36)</f>
        <v>100000</v>
      </c>
      <c r="I36" s="79"/>
      <c r="J36" s="140">
        <v>100000</v>
      </c>
      <c r="K36" s="81" t="s">
        <v>86</v>
      </c>
      <c r="L36" s="81" t="s">
        <v>87</v>
      </c>
      <c r="M36" s="137">
        <v>0</v>
      </c>
      <c r="N36" s="83" t="s">
        <v>93</v>
      </c>
      <c r="O36" s="83" t="s">
        <v>94</v>
      </c>
      <c r="P36" s="255" t="s">
        <v>93</v>
      </c>
      <c r="Q36" s="240"/>
    </row>
    <row r="37" spans="1:17" s="84" customFormat="1" ht="45.75" thickBot="1">
      <c r="A37" s="76" t="s">
        <v>95</v>
      </c>
      <c r="B37" s="128" t="s">
        <v>96</v>
      </c>
      <c r="C37" s="128" t="s">
        <v>97</v>
      </c>
      <c r="D37" s="78" t="s">
        <v>80</v>
      </c>
      <c r="E37" s="79">
        <v>8500</v>
      </c>
      <c r="F37" s="79"/>
      <c r="G37" s="79"/>
      <c r="H37" s="80">
        <f>SUM(E37:G37)</f>
        <v>8500</v>
      </c>
      <c r="I37" s="79"/>
      <c r="J37" s="82">
        <v>3000</v>
      </c>
      <c r="K37" s="81" t="s">
        <v>86</v>
      </c>
      <c r="L37" s="81" t="s">
        <v>87</v>
      </c>
      <c r="M37" s="82">
        <v>0</v>
      </c>
      <c r="N37" s="83" t="s">
        <v>93</v>
      </c>
      <c r="O37" s="83" t="s">
        <v>98</v>
      </c>
      <c r="P37" s="101" t="s">
        <v>93</v>
      </c>
      <c r="Q37" s="240"/>
    </row>
    <row r="38" spans="1:17" ht="15" customHeight="1" thickBot="1">
      <c r="A38" s="85"/>
      <c r="B38" s="65"/>
      <c r="C38" s="65"/>
      <c r="D38" s="66"/>
      <c r="E38" s="67">
        <f>SUM(E34:E37)</f>
        <v>149000</v>
      </c>
      <c r="F38" s="67">
        <f>SUM(F34:F37)</f>
        <v>0</v>
      </c>
      <c r="G38" s="67">
        <f>SUM(G34:G37)</f>
        <v>0</v>
      </c>
      <c r="H38" s="67">
        <f>SUM(H34:H37)</f>
        <v>149000</v>
      </c>
      <c r="I38" s="68"/>
      <c r="J38" s="67">
        <f>SUM(J34:J37)</f>
        <v>143500</v>
      </c>
      <c r="K38" s="69"/>
      <c r="L38" s="69"/>
      <c r="M38" s="70">
        <f>SUM(M34:M37)</f>
        <v>0</v>
      </c>
      <c r="N38" s="69"/>
      <c r="O38" s="71"/>
      <c r="P38" s="246"/>
    </row>
    <row r="39" spans="1:17" ht="15" customHeight="1">
      <c r="A39" s="54"/>
      <c r="B39" s="55" t="s">
        <v>8</v>
      </c>
      <c r="C39" s="56"/>
      <c r="D39" s="57"/>
      <c r="E39" s="58"/>
      <c r="F39" s="58"/>
      <c r="G39" s="58"/>
      <c r="H39" s="72"/>
      <c r="I39" s="59"/>
      <c r="J39" s="59"/>
      <c r="K39" s="60"/>
      <c r="L39" s="60"/>
      <c r="M39" s="61"/>
      <c r="N39" s="59"/>
      <c r="O39" s="62"/>
      <c r="P39" s="245"/>
    </row>
    <row r="40" spans="1:17" s="98" customFormat="1" ht="30">
      <c r="A40" s="165" t="s">
        <v>45</v>
      </c>
      <c r="B40" s="150" t="s">
        <v>23</v>
      </c>
      <c r="C40" s="150" t="s">
        <v>144</v>
      </c>
      <c r="D40" s="151" t="s">
        <v>80</v>
      </c>
      <c r="E40" s="138">
        <v>15300</v>
      </c>
      <c r="F40" s="138"/>
      <c r="G40" s="138"/>
      <c r="H40" s="131">
        <f>SUM(E40:G40)</f>
        <v>15300</v>
      </c>
      <c r="I40" s="101"/>
      <c r="J40" s="102">
        <v>15300</v>
      </c>
      <c r="K40" s="95" t="s">
        <v>142</v>
      </c>
      <c r="L40" s="95" t="s">
        <v>112</v>
      </c>
      <c r="M40" s="139">
        <v>15300</v>
      </c>
      <c r="N40" s="101" t="s">
        <v>93</v>
      </c>
      <c r="O40" s="103" t="s">
        <v>143</v>
      </c>
      <c r="P40" s="101" t="s">
        <v>93</v>
      </c>
      <c r="Q40" s="240"/>
    </row>
    <row r="41" spans="1:17" s="98" customFormat="1" ht="30">
      <c r="A41" s="167" t="s">
        <v>145</v>
      </c>
      <c r="B41" s="141" t="s">
        <v>146</v>
      </c>
      <c r="C41" s="132" t="s">
        <v>147</v>
      </c>
      <c r="D41" s="133" t="s">
        <v>80</v>
      </c>
      <c r="E41" s="142">
        <v>37000</v>
      </c>
      <c r="F41" s="142"/>
      <c r="G41" s="142"/>
      <c r="H41" s="135">
        <f>SUM(E41:G41)</f>
        <v>37000</v>
      </c>
      <c r="I41" s="101"/>
      <c r="J41" s="143">
        <v>37000</v>
      </c>
      <c r="K41" s="95" t="s">
        <v>142</v>
      </c>
      <c r="L41" s="95" t="s">
        <v>112</v>
      </c>
      <c r="M41" s="143">
        <v>0</v>
      </c>
      <c r="N41" s="101" t="s">
        <v>93</v>
      </c>
      <c r="O41" s="103" t="s">
        <v>143</v>
      </c>
      <c r="P41" s="255" t="s">
        <v>93</v>
      </c>
      <c r="Q41" s="240"/>
    </row>
    <row r="42" spans="1:17" s="98" customFormat="1" ht="20.25" customHeight="1">
      <c r="A42" s="167" t="s">
        <v>148</v>
      </c>
      <c r="B42" s="141" t="s">
        <v>149</v>
      </c>
      <c r="C42" s="132" t="s">
        <v>150</v>
      </c>
      <c r="D42" s="133" t="s">
        <v>80</v>
      </c>
      <c r="E42" s="142">
        <v>15000</v>
      </c>
      <c r="F42" s="142"/>
      <c r="G42" s="142"/>
      <c r="H42" s="135">
        <f t="shared" ref="H42:H64" si="3">SUM(E42:G42)</f>
        <v>15000</v>
      </c>
      <c r="I42" s="101"/>
      <c r="J42" s="143">
        <v>15000</v>
      </c>
      <c r="K42" s="95"/>
      <c r="L42" s="95" t="s">
        <v>151</v>
      </c>
      <c r="M42" s="143">
        <v>28900</v>
      </c>
      <c r="N42" s="101" t="s">
        <v>93</v>
      </c>
      <c r="O42" s="103" t="s">
        <v>152</v>
      </c>
      <c r="P42" s="101" t="s">
        <v>93</v>
      </c>
      <c r="Q42" s="240"/>
    </row>
    <row r="43" spans="1:17" s="98" customFormat="1" ht="30">
      <c r="A43" s="167" t="s">
        <v>153</v>
      </c>
      <c r="B43" s="141" t="s">
        <v>149</v>
      </c>
      <c r="C43" s="132" t="s">
        <v>244</v>
      </c>
      <c r="D43" s="133" t="s">
        <v>80</v>
      </c>
      <c r="E43" s="142">
        <v>2200</v>
      </c>
      <c r="F43" s="142"/>
      <c r="G43" s="142"/>
      <c r="H43" s="135">
        <f t="shared" si="3"/>
        <v>2200</v>
      </c>
      <c r="I43" s="101"/>
      <c r="J43" s="143">
        <v>2200</v>
      </c>
      <c r="K43" s="95"/>
      <c r="L43" s="95" t="s">
        <v>151</v>
      </c>
      <c r="M43" s="139">
        <v>0</v>
      </c>
      <c r="N43" s="101" t="s">
        <v>93</v>
      </c>
      <c r="O43" s="103" t="s">
        <v>154</v>
      </c>
      <c r="P43" s="255" t="s">
        <v>93</v>
      </c>
      <c r="Q43" s="240"/>
    </row>
    <row r="44" spans="1:17" s="98" customFormat="1" ht="30">
      <c r="A44" s="167" t="s">
        <v>155</v>
      </c>
      <c r="B44" s="141" t="s">
        <v>149</v>
      </c>
      <c r="C44" s="132" t="s">
        <v>245</v>
      </c>
      <c r="D44" s="133" t="s">
        <v>80</v>
      </c>
      <c r="E44" s="142">
        <v>83500</v>
      </c>
      <c r="F44" s="142"/>
      <c r="G44" s="142"/>
      <c r="H44" s="135">
        <f t="shared" si="3"/>
        <v>83500</v>
      </c>
      <c r="I44" s="101"/>
      <c r="J44" s="143">
        <v>83500</v>
      </c>
      <c r="K44" s="95"/>
      <c r="L44" s="95" t="s">
        <v>151</v>
      </c>
      <c r="M44" s="143">
        <v>0</v>
      </c>
      <c r="N44" s="101" t="s">
        <v>93</v>
      </c>
      <c r="O44" s="103" t="s">
        <v>156</v>
      </c>
      <c r="P44" s="101" t="s">
        <v>93</v>
      </c>
      <c r="Q44" s="240"/>
    </row>
    <row r="45" spans="1:17" s="98" customFormat="1" ht="30">
      <c r="A45" s="170">
        <v>50032</v>
      </c>
      <c r="B45" s="141" t="s">
        <v>157</v>
      </c>
      <c r="C45" s="132" t="s">
        <v>158</v>
      </c>
      <c r="D45" s="133" t="s">
        <v>80</v>
      </c>
      <c r="E45" s="142">
        <f>26775+25</f>
        <v>26800</v>
      </c>
      <c r="F45" s="142"/>
      <c r="G45" s="142"/>
      <c r="H45" s="135">
        <f t="shared" si="3"/>
        <v>26800</v>
      </c>
      <c r="I45" s="101"/>
      <c r="J45" s="143">
        <v>25800</v>
      </c>
      <c r="K45" s="95"/>
      <c r="L45" s="95" t="s">
        <v>151</v>
      </c>
      <c r="M45" s="143">
        <v>0</v>
      </c>
      <c r="N45" s="101" t="s">
        <v>93</v>
      </c>
      <c r="O45" s="103" t="s">
        <v>156</v>
      </c>
      <c r="P45" s="255" t="s">
        <v>93</v>
      </c>
      <c r="Q45" s="240"/>
    </row>
    <row r="46" spans="1:17" s="98" customFormat="1" ht="30">
      <c r="A46" s="167" t="s">
        <v>159</v>
      </c>
      <c r="B46" s="141" t="s">
        <v>149</v>
      </c>
      <c r="C46" s="132" t="s">
        <v>246</v>
      </c>
      <c r="D46" s="133" t="s">
        <v>80</v>
      </c>
      <c r="E46" s="142">
        <v>5300</v>
      </c>
      <c r="F46" s="142"/>
      <c r="G46" s="142"/>
      <c r="H46" s="135">
        <f t="shared" si="3"/>
        <v>5300</v>
      </c>
      <c r="I46" s="101"/>
      <c r="J46" s="143">
        <v>5300</v>
      </c>
      <c r="K46" s="95"/>
      <c r="L46" s="95" t="s">
        <v>151</v>
      </c>
      <c r="M46" s="143">
        <v>0</v>
      </c>
      <c r="N46" s="101" t="s">
        <v>93</v>
      </c>
      <c r="O46" s="103" t="s">
        <v>80</v>
      </c>
      <c r="P46" s="101" t="s">
        <v>93</v>
      </c>
      <c r="Q46" s="240"/>
    </row>
    <row r="47" spans="1:17" s="98" customFormat="1" ht="30">
      <c r="A47" s="167" t="s">
        <v>160</v>
      </c>
      <c r="B47" s="141" t="s">
        <v>149</v>
      </c>
      <c r="C47" s="132" t="s">
        <v>247</v>
      </c>
      <c r="D47" s="133" t="s">
        <v>80</v>
      </c>
      <c r="E47" s="142">
        <v>60000</v>
      </c>
      <c r="F47" s="142"/>
      <c r="G47" s="142"/>
      <c r="H47" s="135">
        <f t="shared" si="3"/>
        <v>60000</v>
      </c>
      <c r="I47" s="101"/>
      <c r="J47" s="143">
        <v>60000</v>
      </c>
      <c r="K47" s="95"/>
      <c r="L47" s="95" t="s">
        <v>151</v>
      </c>
      <c r="M47" s="143">
        <v>0</v>
      </c>
      <c r="N47" s="101" t="s">
        <v>93</v>
      </c>
      <c r="O47" s="103" t="s">
        <v>154</v>
      </c>
      <c r="P47" s="255" t="s">
        <v>93</v>
      </c>
      <c r="Q47" s="240"/>
    </row>
    <row r="48" spans="1:17" s="98" customFormat="1" ht="30">
      <c r="A48" s="167" t="s">
        <v>161</v>
      </c>
      <c r="B48" s="141" t="s">
        <v>149</v>
      </c>
      <c r="C48" s="132" t="s">
        <v>248</v>
      </c>
      <c r="D48" s="133" t="s">
        <v>80</v>
      </c>
      <c r="E48" s="142">
        <f>10182+18</f>
        <v>10200</v>
      </c>
      <c r="F48" s="142"/>
      <c r="G48" s="142"/>
      <c r="H48" s="135">
        <f t="shared" si="3"/>
        <v>10200</v>
      </c>
      <c r="I48" s="101"/>
      <c r="J48" s="143">
        <v>10100</v>
      </c>
      <c r="K48" s="95"/>
      <c r="L48" s="95" t="s">
        <v>151</v>
      </c>
      <c r="M48" s="143">
        <v>0</v>
      </c>
      <c r="N48" s="101" t="s">
        <v>93</v>
      </c>
      <c r="O48" s="103" t="s">
        <v>154</v>
      </c>
      <c r="P48" s="101" t="s">
        <v>93</v>
      </c>
      <c r="Q48" s="240"/>
    </row>
    <row r="49" spans="1:17" s="98" customFormat="1" ht="30">
      <c r="A49" s="167" t="s">
        <v>162</v>
      </c>
      <c r="B49" s="141" t="s">
        <v>149</v>
      </c>
      <c r="C49" s="132" t="s">
        <v>249</v>
      </c>
      <c r="D49" s="133" t="s">
        <v>80</v>
      </c>
      <c r="E49" s="142">
        <v>20000</v>
      </c>
      <c r="F49" s="142">
        <v>5000</v>
      </c>
      <c r="G49" s="142"/>
      <c r="H49" s="135">
        <f t="shared" si="3"/>
        <v>25000</v>
      </c>
      <c r="I49" s="101"/>
      <c r="J49" s="143">
        <v>25000</v>
      </c>
      <c r="K49" s="95"/>
      <c r="L49" s="95" t="s">
        <v>151</v>
      </c>
      <c r="M49" s="143">
        <v>0</v>
      </c>
      <c r="N49" s="101" t="s">
        <v>93</v>
      </c>
      <c r="O49" s="103" t="s">
        <v>154</v>
      </c>
      <c r="P49" s="255" t="s">
        <v>93</v>
      </c>
      <c r="Q49" s="240"/>
    </row>
    <row r="50" spans="1:17" s="98" customFormat="1" ht="30">
      <c r="A50" s="167" t="s">
        <v>163</v>
      </c>
      <c r="B50" s="257" t="s">
        <v>149</v>
      </c>
      <c r="C50" s="258" t="s">
        <v>250</v>
      </c>
      <c r="D50" s="259" t="s">
        <v>80</v>
      </c>
      <c r="E50" s="260">
        <v>30000</v>
      </c>
      <c r="F50" s="260"/>
      <c r="G50" s="260"/>
      <c r="H50" s="261">
        <f t="shared" si="3"/>
        <v>30000</v>
      </c>
      <c r="I50" s="101"/>
      <c r="J50" s="102">
        <v>30000</v>
      </c>
      <c r="K50" s="95"/>
      <c r="L50" s="95" t="s">
        <v>151</v>
      </c>
      <c r="M50" s="262">
        <v>0</v>
      </c>
      <c r="N50" s="101" t="s">
        <v>93</v>
      </c>
      <c r="O50" s="103" t="s">
        <v>154</v>
      </c>
      <c r="P50" s="101" t="s">
        <v>93</v>
      </c>
      <c r="Q50" s="240"/>
    </row>
    <row r="51" spans="1:17" s="98" customFormat="1" ht="30">
      <c r="A51" s="167" t="s">
        <v>164</v>
      </c>
      <c r="B51" s="141" t="s">
        <v>149</v>
      </c>
      <c r="C51" s="132" t="s">
        <v>251</v>
      </c>
      <c r="D51" s="133" t="s">
        <v>80</v>
      </c>
      <c r="E51" s="142">
        <f>79318-18</f>
        <v>79300</v>
      </c>
      <c r="F51" s="142"/>
      <c r="G51" s="142"/>
      <c r="H51" s="135">
        <f t="shared" si="3"/>
        <v>79300</v>
      </c>
      <c r="I51" s="255"/>
      <c r="J51" s="143">
        <v>79300</v>
      </c>
      <c r="K51" s="263"/>
      <c r="L51" s="263" t="s">
        <v>151</v>
      </c>
      <c r="M51" s="143">
        <v>0</v>
      </c>
      <c r="N51" s="255" t="s">
        <v>93</v>
      </c>
      <c r="O51" s="264" t="s">
        <v>156</v>
      </c>
      <c r="P51" s="255" t="s">
        <v>93</v>
      </c>
      <c r="Q51" s="240"/>
    </row>
    <row r="52" spans="1:17" s="98" customFormat="1">
      <c r="A52" s="93" t="s">
        <v>165</v>
      </c>
      <c r="B52" s="100"/>
      <c r="C52" s="77"/>
      <c r="D52" s="78"/>
      <c r="E52" s="94">
        <v>25055</v>
      </c>
      <c r="F52" s="94"/>
      <c r="G52" s="94"/>
      <c r="H52" s="80">
        <f t="shared" si="3"/>
        <v>25055</v>
      </c>
      <c r="I52" s="101"/>
      <c r="J52" s="102">
        <v>25100</v>
      </c>
      <c r="K52" s="95"/>
      <c r="L52" s="95"/>
      <c r="M52" s="102"/>
      <c r="N52" s="101"/>
      <c r="O52" s="103"/>
      <c r="P52" s="251"/>
    </row>
    <row r="53" spans="1:17" s="98" customFormat="1">
      <c r="A53" s="93" t="s">
        <v>166</v>
      </c>
      <c r="B53" s="100"/>
      <c r="C53" s="77"/>
      <c r="D53" s="78"/>
      <c r="E53" s="94">
        <v>166</v>
      </c>
      <c r="F53" s="94"/>
      <c r="G53" s="94"/>
      <c r="H53" s="80">
        <f t="shared" si="3"/>
        <v>166</v>
      </c>
      <c r="I53" s="101"/>
      <c r="J53" s="102">
        <v>200</v>
      </c>
      <c r="K53" s="95"/>
      <c r="L53" s="95"/>
      <c r="M53" s="102"/>
      <c r="N53" s="101"/>
      <c r="O53" s="103"/>
      <c r="P53" s="251"/>
    </row>
    <row r="54" spans="1:17" s="98" customFormat="1">
      <c r="A54" s="93" t="s">
        <v>167</v>
      </c>
      <c r="B54" s="100"/>
      <c r="C54" s="77"/>
      <c r="D54" s="78"/>
      <c r="E54" s="94">
        <v>7996</v>
      </c>
      <c r="F54" s="94"/>
      <c r="G54" s="94"/>
      <c r="H54" s="80">
        <f t="shared" si="3"/>
        <v>7996</v>
      </c>
      <c r="I54" s="101"/>
      <c r="J54" s="102">
        <v>8000</v>
      </c>
      <c r="K54" s="95"/>
      <c r="L54" s="95"/>
      <c r="M54" s="102"/>
      <c r="N54" s="101"/>
      <c r="O54" s="103"/>
      <c r="P54" s="251"/>
    </row>
    <row r="55" spans="1:17" s="98" customFormat="1">
      <c r="A55" s="93" t="s">
        <v>168</v>
      </c>
      <c r="B55" s="100"/>
      <c r="C55" s="77"/>
      <c r="D55" s="78"/>
      <c r="E55" s="94">
        <v>1458</v>
      </c>
      <c r="F55" s="94"/>
      <c r="G55" s="94"/>
      <c r="H55" s="80">
        <f t="shared" si="3"/>
        <v>1458</v>
      </c>
      <c r="I55" s="101"/>
      <c r="J55" s="102">
        <v>1400</v>
      </c>
      <c r="K55" s="95"/>
      <c r="L55" s="95"/>
      <c r="M55" s="102"/>
      <c r="N55" s="101"/>
      <c r="O55" s="103"/>
      <c r="P55" s="251"/>
    </row>
    <row r="56" spans="1:17" s="98" customFormat="1" ht="20.25" customHeight="1">
      <c r="A56" s="93"/>
      <c r="B56" s="150" t="s">
        <v>169</v>
      </c>
      <c r="C56" s="128" t="s">
        <v>170</v>
      </c>
      <c r="D56" s="129" t="s">
        <v>80</v>
      </c>
      <c r="E56" s="135">
        <f>SUM(E52:E55)+25</f>
        <v>34700</v>
      </c>
      <c r="F56" s="142">
        <f>SUM(F52:F55)</f>
        <v>0</v>
      </c>
      <c r="G56" s="142">
        <f>SUM(G52:G55)</f>
        <v>0</v>
      </c>
      <c r="H56" s="135">
        <f>SUM(H52:H55)+25</f>
        <v>34700</v>
      </c>
      <c r="I56" s="101"/>
      <c r="J56" s="102">
        <f>SUM(J52:J55)</f>
        <v>34700</v>
      </c>
      <c r="K56" s="95"/>
      <c r="L56" s="95" t="s">
        <v>151</v>
      </c>
      <c r="M56" s="139">
        <f>SUM(M52:M55)</f>
        <v>0</v>
      </c>
      <c r="N56" s="101" t="s">
        <v>88</v>
      </c>
      <c r="O56" s="103"/>
      <c r="P56" s="252" t="s">
        <v>88</v>
      </c>
    </row>
    <row r="57" spans="1:17" s="98" customFormat="1" ht="30">
      <c r="A57" s="165" t="s">
        <v>171</v>
      </c>
      <c r="B57" s="141" t="s">
        <v>169</v>
      </c>
      <c r="C57" s="132" t="s">
        <v>172</v>
      </c>
      <c r="D57" s="133" t="s">
        <v>80</v>
      </c>
      <c r="E57" s="142">
        <v>175000</v>
      </c>
      <c r="F57" s="142"/>
      <c r="G57" s="142"/>
      <c r="H57" s="135">
        <f t="shared" ref="H57:H62" si="4">SUM(E57:G57)</f>
        <v>175000</v>
      </c>
      <c r="I57" s="101"/>
      <c r="J57" s="143">
        <f>175000-4000</f>
        <v>171000</v>
      </c>
      <c r="K57" s="95"/>
      <c r="L57" s="95" t="s">
        <v>151</v>
      </c>
      <c r="M57" s="143">
        <v>0</v>
      </c>
      <c r="N57" s="101" t="s">
        <v>93</v>
      </c>
      <c r="O57" s="103" t="s">
        <v>173</v>
      </c>
      <c r="P57" s="101" t="s">
        <v>93</v>
      </c>
      <c r="Q57" s="240"/>
    </row>
    <row r="58" spans="1:17" s="98" customFormat="1">
      <c r="A58" s="93" t="s">
        <v>174</v>
      </c>
      <c r="B58" s="100"/>
      <c r="C58" s="77"/>
      <c r="D58" s="78"/>
      <c r="E58" s="94">
        <v>13000</v>
      </c>
      <c r="F58" s="94"/>
      <c r="G58" s="94"/>
      <c r="H58" s="80">
        <f t="shared" si="4"/>
        <v>13000</v>
      </c>
      <c r="I58" s="101"/>
      <c r="J58" s="102">
        <v>13000</v>
      </c>
      <c r="K58" s="95"/>
      <c r="L58" s="95"/>
      <c r="M58" s="102"/>
      <c r="N58" s="101"/>
      <c r="O58" s="103"/>
      <c r="P58" s="251"/>
    </row>
    <row r="59" spans="1:17" s="98" customFormat="1">
      <c r="A59" s="93" t="s">
        <v>175</v>
      </c>
      <c r="B59" s="100"/>
      <c r="C59" s="77"/>
      <c r="D59" s="78"/>
      <c r="E59" s="94">
        <v>1000</v>
      </c>
      <c r="F59" s="94"/>
      <c r="G59" s="94"/>
      <c r="H59" s="80">
        <f t="shared" si="4"/>
        <v>1000</v>
      </c>
      <c r="I59" s="101"/>
      <c r="J59" s="102">
        <v>1000</v>
      </c>
      <c r="K59" s="95"/>
      <c r="L59" s="95"/>
      <c r="M59" s="102"/>
      <c r="N59" s="101"/>
      <c r="O59" s="103"/>
      <c r="P59" s="251"/>
    </row>
    <row r="60" spans="1:17" s="98" customFormat="1">
      <c r="A60" s="93" t="s">
        <v>176</v>
      </c>
      <c r="B60" s="100"/>
      <c r="C60" s="77"/>
      <c r="D60" s="78"/>
      <c r="E60" s="94">
        <v>2000</v>
      </c>
      <c r="F60" s="94"/>
      <c r="G60" s="94"/>
      <c r="H60" s="80">
        <f t="shared" si="4"/>
        <v>2000</v>
      </c>
      <c r="I60" s="101"/>
      <c r="J60" s="102">
        <v>2000</v>
      </c>
      <c r="K60" s="95"/>
      <c r="L60" s="95"/>
      <c r="M60" s="102"/>
      <c r="N60" s="101"/>
      <c r="O60" s="103"/>
      <c r="P60" s="251"/>
    </row>
    <row r="61" spans="1:17" s="98" customFormat="1">
      <c r="A61" s="93" t="s">
        <v>177</v>
      </c>
      <c r="B61" s="100"/>
      <c r="C61" s="77"/>
      <c r="D61" s="78"/>
      <c r="E61" s="94">
        <v>500</v>
      </c>
      <c r="F61" s="94"/>
      <c r="G61" s="94"/>
      <c r="H61" s="80">
        <f t="shared" si="4"/>
        <v>500</v>
      </c>
      <c r="I61" s="101"/>
      <c r="J61" s="102">
        <v>500</v>
      </c>
      <c r="K61" s="95"/>
      <c r="L61" s="95"/>
      <c r="M61" s="102"/>
      <c r="N61" s="101"/>
      <c r="O61" s="103"/>
      <c r="P61" s="251"/>
    </row>
    <row r="62" spans="1:17" s="98" customFormat="1">
      <c r="A62" s="93" t="s">
        <v>178</v>
      </c>
      <c r="B62" s="100"/>
      <c r="C62" s="77"/>
      <c r="D62" s="78"/>
      <c r="E62" s="94">
        <v>500</v>
      </c>
      <c r="F62" s="94"/>
      <c r="G62" s="94"/>
      <c r="H62" s="80">
        <f t="shared" si="4"/>
        <v>500</v>
      </c>
      <c r="I62" s="101"/>
      <c r="J62" s="102">
        <v>500</v>
      </c>
      <c r="K62" s="95"/>
      <c r="L62" s="95"/>
      <c r="M62" s="102"/>
      <c r="N62" s="101"/>
      <c r="O62" s="103"/>
      <c r="P62" s="251"/>
    </row>
    <row r="63" spans="1:17" s="98" customFormat="1" ht="18.75" customHeight="1">
      <c r="A63" s="93"/>
      <c r="B63" s="150" t="s">
        <v>169</v>
      </c>
      <c r="C63" s="128" t="s">
        <v>170</v>
      </c>
      <c r="D63" s="129" t="s">
        <v>80</v>
      </c>
      <c r="E63" s="135">
        <f>SUM(E58:E62)</f>
        <v>17000</v>
      </c>
      <c r="F63" s="142">
        <f>SUM(F58:F62)</f>
        <v>0</v>
      </c>
      <c r="G63" s="142">
        <f>SUM(G58:G62)</f>
        <v>0</v>
      </c>
      <c r="H63" s="135">
        <f>SUM(H58:H62)</f>
        <v>17000</v>
      </c>
      <c r="I63" s="101"/>
      <c r="J63" s="143">
        <f>SUM(J58:J62)</f>
        <v>17000</v>
      </c>
      <c r="K63" s="95"/>
      <c r="L63" s="95" t="s">
        <v>151</v>
      </c>
      <c r="M63" s="139">
        <f>SUM(M58:M62)</f>
        <v>0</v>
      </c>
      <c r="N63" s="101" t="s">
        <v>88</v>
      </c>
      <c r="O63" s="103"/>
      <c r="P63" s="252" t="s">
        <v>93</v>
      </c>
    </row>
    <row r="64" spans="1:17" s="98" customFormat="1" ht="18.75" customHeight="1" thickBot="1">
      <c r="A64" s="165" t="s">
        <v>37</v>
      </c>
      <c r="B64" s="141" t="s">
        <v>169</v>
      </c>
      <c r="C64" s="132" t="s">
        <v>179</v>
      </c>
      <c r="D64" s="159" t="s">
        <v>80</v>
      </c>
      <c r="E64" s="94">
        <v>9200</v>
      </c>
      <c r="F64" s="94"/>
      <c r="G64" s="94"/>
      <c r="H64" s="80">
        <f t="shared" si="3"/>
        <v>9200</v>
      </c>
      <c r="I64" s="101"/>
      <c r="J64" s="102">
        <f>35500-26300</f>
        <v>9200</v>
      </c>
      <c r="K64" s="95"/>
      <c r="L64" s="95" t="s">
        <v>151</v>
      </c>
      <c r="M64" s="102">
        <v>8700</v>
      </c>
      <c r="N64" s="101" t="s">
        <v>93</v>
      </c>
      <c r="O64" s="103" t="s">
        <v>80</v>
      </c>
      <c r="P64" s="101" t="s">
        <v>93</v>
      </c>
      <c r="Q64" s="240"/>
    </row>
    <row r="65" spans="1:17" ht="16.5" thickBot="1">
      <c r="A65" s="64"/>
      <c r="B65" s="65"/>
      <c r="C65" s="65"/>
      <c r="D65" s="66"/>
      <c r="E65" s="104">
        <f>SUM(E40:E64)-SUM(E52:E55)-SUM(E58:E62)</f>
        <v>620500</v>
      </c>
      <c r="F65" s="104">
        <f>SUM(F40:F64)-SUM(F52:F55)-SUM(F58:F62)</f>
        <v>5000</v>
      </c>
      <c r="G65" s="104">
        <f>SUM(G40:G64)-SUM(G52:G55)-SUM(G58:G62)</f>
        <v>0</v>
      </c>
      <c r="H65" s="104">
        <f>SUM(H40:H64)-SUM(H52:H55)-SUM(H58:H62)</f>
        <v>625500</v>
      </c>
      <c r="I65" s="105"/>
      <c r="J65" s="104">
        <f>SUM(J40:J64)-SUM(J52:J55)-SUM(J58:J62)</f>
        <v>620400</v>
      </c>
      <c r="K65" s="106"/>
      <c r="L65" s="106"/>
      <c r="M65" s="70">
        <f>SUM(M40:M64)-SUM(M52:M55)-SUM(M58:M62)</f>
        <v>52900</v>
      </c>
      <c r="N65" s="69"/>
      <c r="O65" s="71"/>
      <c r="P65" s="246"/>
    </row>
    <row r="66" spans="1:17" ht="15" customHeight="1">
      <c r="A66" s="54"/>
      <c r="B66" s="38" t="s">
        <v>180</v>
      </c>
      <c r="C66" s="107"/>
      <c r="D66" s="108"/>
      <c r="E66" s="109"/>
      <c r="F66" s="110"/>
      <c r="G66" s="88"/>
      <c r="H66" s="89"/>
      <c r="I66" s="72"/>
      <c r="J66" s="89"/>
      <c r="K66" s="60"/>
      <c r="L66" s="60"/>
      <c r="M66" s="90"/>
      <c r="N66" s="91"/>
      <c r="O66" s="92"/>
      <c r="P66" s="247"/>
    </row>
    <row r="67" spans="1:17" s="98" customFormat="1" ht="30">
      <c r="A67" s="93" t="s">
        <v>38</v>
      </c>
      <c r="B67" s="152" t="s">
        <v>22</v>
      </c>
      <c r="C67" s="152" t="s">
        <v>181</v>
      </c>
      <c r="D67" s="153" t="s">
        <v>80</v>
      </c>
      <c r="E67" s="154">
        <v>37600</v>
      </c>
      <c r="F67" s="131"/>
      <c r="G67" s="154"/>
      <c r="H67" s="131">
        <f>SUM(E67:G67)</f>
        <v>37600</v>
      </c>
      <c r="I67" s="80"/>
      <c r="J67" s="80">
        <v>37600</v>
      </c>
      <c r="K67" s="95" t="s">
        <v>103</v>
      </c>
      <c r="L67" s="95" t="s">
        <v>116</v>
      </c>
      <c r="M67" s="139">
        <v>20000</v>
      </c>
      <c r="N67" s="101" t="s">
        <v>81</v>
      </c>
      <c r="O67" s="103" t="s">
        <v>182</v>
      </c>
      <c r="P67" s="101" t="s">
        <v>93</v>
      </c>
      <c r="Q67" s="240"/>
    </row>
    <row r="68" spans="1:17" s="84" customFormat="1" ht="45.75" thickBot="1">
      <c r="A68" s="76" t="s">
        <v>183</v>
      </c>
      <c r="B68" s="155" t="s">
        <v>48</v>
      </c>
      <c r="C68" s="155" t="s">
        <v>195</v>
      </c>
      <c r="D68" s="111" t="s">
        <v>80</v>
      </c>
      <c r="E68" s="112">
        <v>19200</v>
      </c>
      <c r="F68" s="99"/>
      <c r="G68" s="112"/>
      <c r="H68" s="99">
        <f>SUM(E68:G68)</f>
        <v>19200</v>
      </c>
      <c r="I68" s="99"/>
      <c r="J68" s="99">
        <v>19200</v>
      </c>
      <c r="K68" s="81" t="s">
        <v>103</v>
      </c>
      <c r="L68" s="81" t="s">
        <v>116</v>
      </c>
      <c r="M68" s="113">
        <v>0</v>
      </c>
      <c r="N68" s="103" t="s">
        <v>93</v>
      </c>
      <c r="O68" s="103" t="s">
        <v>184</v>
      </c>
      <c r="P68" s="101" t="s">
        <v>93</v>
      </c>
      <c r="Q68" s="240"/>
    </row>
    <row r="69" spans="1:17" ht="16.5" thickBot="1">
      <c r="A69" s="64"/>
      <c r="B69" s="65"/>
      <c r="C69" s="65"/>
      <c r="D69" s="66"/>
      <c r="E69" s="114">
        <f>SUM(E67:E68)</f>
        <v>56800</v>
      </c>
      <c r="F69" s="104">
        <f>SUM(F67:F68)</f>
        <v>0</v>
      </c>
      <c r="G69" s="115">
        <f>SUM(G67:G68)</f>
        <v>0</v>
      </c>
      <c r="H69" s="104">
        <f>SUM(H67:H68)</f>
        <v>56800</v>
      </c>
      <c r="I69" s="105"/>
      <c r="J69" s="104">
        <f>SUM(J67:J68)</f>
        <v>56800</v>
      </c>
      <c r="K69" s="106"/>
      <c r="L69" s="106"/>
      <c r="M69" s="70">
        <f>SUM(M67:M68)</f>
        <v>20000</v>
      </c>
      <c r="N69" s="69"/>
      <c r="O69" s="71"/>
      <c r="P69" s="246"/>
    </row>
    <row r="70" spans="1:17" ht="15" customHeight="1">
      <c r="A70" s="54"/>
      <c r="B70" s="55" t="s">
        <v>39</v>
      </c>
      <c r="C70" s="86"/>
      <c r="D70" s="116"/>
      <c r="E70" s="109"/>
      <c r="F70" s="110"/>
      <c r="G70" s="88"/>
      <c r="H70" s="72"/>
      <c r="I70" s="72"/>
      <c r="J70" s="89"/>
      <c r="K70" s="91"/>
      <c r="L70" s="91"/>
      <c r="M70" s="90"/>
      <c r="N70" s="91"/>
      <c r="O70" s="92"/>
      <c r="P70" s="247"/>
    </row>
    <row r="71" spans="1:17" s="84" customFormat="1" ht="30">
      <c r="A71" s="76" t="s">
        <v>46</v>
      </c>
      <c r="B71" s="128" t="s">
        <v>185</v>
      </c>
      <c r="C71" s="128" t="s">
        <v>186</v>
      </c>
      <c r="D71" s="156" t="s">
        <v>80</v>
      </c>
      <c r="E71" s="157">
        <v>25300</v>
      </c>
      <c r="F71" s="144"/>
      <c r="G71" s="157"/>
      <c r="H71" s="144">
        <f>SUM(E71:G71)</f>
        <v>25300</v>
      </c>
      <c r="I71" s="99"/>
      <c r="J71" s="99">
        <v>25300</v>
      </c>
      <c r="K71" s="103" t="s">
        <v>86</v>
      </c>
      <c r="L71" s="103" t="s">
        <v>87</v>
      </c>
      <c r="M71" s="136">
        <v>40000</v>
      </c>
      <c r="N71" s="103" t="s">
        <v>81</v>
      </c>
      <c r="O71" s="103" t="s">
        <v>102</v>
      </c>
      <c r="P71" s="253" t="s">
        <v>93</v>
      </c>
    </row>
    <row r="72" spans="1:17" s="84" customFormat="1" ht="15.75" thickBot="1">
      <c r="A72" s="76" t="s">
        <v>187</v>
      </c>
      <c r="B72" s="132" t="s">
        <v>188</v>
      </c>
      <c r="C72" s="132" t="s">
        <v>189</v>
      </c>
      <c r="D72" s="81" t="s">
        <v>80</v>
      </c>
      <c r="E72" s="112">
        <v>6000</v>
      </c>
      <c r="F72" s="99"/>
      <c r="G72" s="112"/>
      <c r="H72" s="99">
        <f>SUM(E72:G72)</f>
        <v>6000</v>
      </c>
      <c r="I72" s="99"/>
      <c r="J72" s="231">
        <v>6000</v>
      </c>
      <c r="K72" s="103" t="s">
        <v>190</v>
      </c>
      <c r="L72" s="103" t="s">
        <v>87</v>
      </c>
      <c r="M72" s="113">
        <v>0</v>
      </c>
      <c r="N72" s="103" t="s">
        <v>88</v>
      </c>
      <c r="O72" s="103" t="s">
        <v>102</v>
      </c>
      <c r="P72" s="250" t="s">
        <v>88</v>
      </c>
    </row>
    <row r="73" spans="1:17" ht="15.75" customHeight="1" thickBot="1">
      <c r="A73" s="64"/>
      <c r="B73" s="65"/>
      <c r="C73" s="65"/>
      <c r="D73" s="52"/>
      <c r="E73" s="117">
        <f>SUM(E71:E72)</f>
        <v>31300</v>
      </c>
      <c r="F73" s="67">
        <f>SUM(F71:F72)</f>
        <v>0</v>
      </c>
      <c r="G73" s="118">
        <f>SUM(G71:G72)</f>
        <v>0</v>
      </c>
      <c r="H73" s="67">
        <f>SUM(H71:H72)</f>
        <v>31300</v>
      </c>
      <c r="I73" s="68"/>
      <c r="J73" s="67">
        <f>SUM(J71:J72)</f>
        <v>31300</v>
      </c>
      <c r="K73" s="69"/>
      <c r="L73" s="69"/>
      <c r="M73" s="70">
        <f>SUM(M71:M72)</f>
        <v>40000</v>
      </c>
      <c r="N73" s="69"/>
      <c r="O73" s="71"/>
      <c r="P73" s="246"/>
    </row>
    <row r="74" spans="1:17" s="119" customFormat="1" ht="16.5" thickBot="1">
      <c r="B74" s="120" t="s">
        <v>191</v>
      </c>
      <c r="C74" s="121"/>
      <c r="D74" s="122"/>
      <c r="E74" s="115">
        <f>SUM(E73+E38+E32+E69+E65+E15)</f>
        <v>1517999.88</v>
      </c>
      <c r="F74" s="104">
        <f>SUM(F73+F38+F32+F69+F65+F15)</f>
        <v>34000</v>
      </c>
      <c r="G74" s="104">
        <f>SUM(G73+G38+G32+G69+G65+G15)</f>
        <v>0</v>
      </c>
      <c r="H74" s="104">
        <f>SUM(H73+H38+H32+H69+H65+H15)</f>
        <v>1551999.88</v>
      </c>
      <c r="I74" s="105"/>
      <c r="J74" s="104">
        <f>SUM(J73+J38+J32+J69+J65+J15)</f>
        <v>1534200</v>
      </c>
      <c r="K74" s="106"/>
      <c r="L74" s="106"/>
      <c r="M74" s="70">
        <f>SUM(M73+M38+M32+M69+M65+M15)</f>
        <v>409700</v>
      </c>
      <c r="N74" s="69"/>
      <c r="O74" s="71"/>
      <c r="P74" s="246"/>
    </row>
    <row r="75" spans="1:17">
      <c r="M75" s="123"/>
    </row>
    <row r="76" spans="1:17" ht="15.75">
      <c r="B76" s="124" t="s">
        <v>192</v>
      </c>
      <c r="M76" s="123"/>
    </row>
    <row r="77" spans="1:17">
      <c r="A77" s="28" t="s">
        <v>93</v>
      </c>
      <c r="B77" s="30" t="s">
        <v>193</v>
      </c>
      <c r="H77" s="32">
        <f>SUMIF($P$14:$P$74,$A$77:$A$79,$H$14:$H$74)</f>
        <v>1480299.88</v>
      </c>
      <c r="J77" s="32">
        <f>SUMIF($P$14:$P$74,$A$77:$A$79,$J$14:$J$74)</f>
        <v>1462500</v>
      </c>
      <c r="M77" s="123"/>
    </row>
    <row r="78" spans="1:17">
      <c r="A78" s="28" t="s">
        <v>88</v>
      </c>
      <c r="B78" s="30" t="s">
        <v>194</v>
      </c>
      <c r="H78" s="32">
        <f>SUMIF($P$14:$P$74,$A$77:$A$79,$H$14:$H$74)</f>
        <v>71700</v>
      </c>
      <c r="J78" s="32">
        <f>SUMIF($P$14:$P$74,$A$77:$A$79,$J$14:$J$74)</f>
        <v>71700</v>
      </c>
      <c r="M78" s="123"/>
    </row>
    <row r="79" spans="1:17">
      <c r="H79" s="33"/>
      <c r="J79" s="33"/>
      <c r="M79" s="125"/>
      <c r="N79" s="126"/>
      <c r="O79" s="127"/>
      <c r="P79" s="254"/>
    </row>
    <row r="80" spans="1:17">
      <c r="H80" s="33"/>
      <c r="J80" s="33"/>
      <c r="M80" s="125"/>
      <c r="N80" s="126"/>
      <c r="O80" s="127"/>
      <c r="P80" s="254"/>
    </row>
    <row r="81" spans="2:16">
      <c r="H81" s="33"/>
      <c r="J81" s="33"/>
      <c r="M81" s="125"/>
      <c r="N81" s="126"/>
      <c r="O81" s="127"/>
      <c r="P81" s="254"/>
    </row>
    <row r="82" spans="2:16">
      <c r="H82" s="33"/>
      <c r="J82" s="33"/>
      <c r="M82" s="125"/>
      <c r="N82" s="126"/>
      <c r="O82" s="127"/>
      <c r="P82" s="254"/>
    </row>
    <row r="83" spans="2:16">
      <c r="H83" s="33"/>
      <c r="J83" s="33"/>
      <c r="M83" s="125"/>
      <c r="N83" s="126"/>
      <c r="O83" s="127"/>
      <c r="P83" s="254"/>
    </row>
    <row r="84" spans="2:16">
      <c r="H84" s="33"/>
      <c r="J84" s="33"/>
      <c r="M84" s="125"/>
      <c r="N84" s="126"/>
      <c r="O84" s="127"/>
      <c r="P84" s="254"/>
    </row>
    <row r="85" spans="2:16">
      <c r="B85" s="266">
        <f ca="1">NOW()</f>
        <v>40494.45066145833</v>
      </c>
      <c r="H85" s="33"/>
      <c r="J85" s="33"/>
      <c r="M85" s="125"/>
      <c r="N85" s="126"/>
      <c r="O85" s="127"/>
      <c r="P85" s="254"/>
    </row>
    <row r="86" spans="2:16">
      <c r="H86" s="33"/>
      <c r="J86" s="33"/>
      <c r="M86" s="125"/>
      <c r="N86" s="126"/>
      <c r="O86" s="127"/>
      <c r="P86" s="254"/>
    </row>
    <row r="87" spans="2:16">
      <c r="H87" s="33"/>
      <c r="J87" s="33"/>
      <c r="M87" s="125"/>
      <c r="N87" s="126"/>
      <c r="O87" s="127"/>
      <c r="P87" s="254"/>
    </row>
    <row r="88" spans="2:16">
      <c r="H88" s="33"/>
      <c r="J88" s="33"/>
      <c r="M88" s="125"/>
      <c r="N88" s="126"/>
      <c r="O88" s="127"/>
      <c r="P88" s="254"/>
    </row>
    <row r="89" spans="2:16">
      <c r="H89" s="33"/>
      <c r="J89" s="33"/>
      <c r="M89" s="125"/>
      <c r="N89" s="126"/>
      <c r="O89" s="127"/>
      <c r="P89" s="254"/>
    </row>
    <row r="90" spans="2:16">
      <c r="H90" s="33"/>
      <c r="J90" s="33"/>
      <c r="M90" s="125"/>
      <c r="N90" s="126"/>
      <c r="O90" s="127"/>
      <c r="P90" s="254"/>
    </row>
    <row r="91" spans="2:16">
      <c r="H91" s="33"/>
      <c r="J91" s="33"/>
      <c r="M91" s="125"/>
      <c r="N91" s="126"/>
      <c r="O91" s="127"/>
      <c r="P91" s="254"/>
    </row>
    <row r="92" spans="2:16">
      <c r="H92" s="33"/>
      <c r="J92" s="33"/>
      <c r="M92" s="33"/>
      <c r="N92" s="126"/>
      <c r="O92" s="127"/>
      <c r="P92" s="254"/>
    </row>
    <row r="93" spans="2:16">
      <c r="H93" s="33"/>
      <c r="J93" s="33"/>
      <c r="M93" s="33"/>
      <c r="N93" s="126"/>
      <c r="O93" s="127"/>
      <c r="P93" s="254"/>
    </row>
    <row r="94" spans="2:16">
      <c r="H94" s="33"/>
      <c r="J94" s="33"/>
      <c r="M94" s="33"/>
      <c r="N94" s="126"/>
      <c r="O94" s="127"/>
      <c r="P94" s="254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Header>&amp;R&amp;"Arial,Bold"&amp;12APPENDIX B [3]</oddHeader>
    <oddFooter>&amp;C&amp;"Arial,Bold"&amp;12&amp;A</oddFooter>
  </headerFooter>
  <rowBreaks count="2" manualBreakCount="2">
    <brk id="32" max="16383" man="1"/>
    <brk id="49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workbookViewId="0">
      <selection activeCell="B21" sqref="B21"/>
    </sheetView>
  </sheetViews>
  <sheetFormatPr defaultRowHeight="14.25"/>
  <cols>
    <col min="1" max="1" width="28.5703125" style="282" customWidth="1"/>
    <col min="2" max="12" width="14.140625" style="282" customWidth="1"/>
    <col min="13" max="13" width="14.140625" style="291" customWidth="1"/>
    <col min="14" max="14" width="14.5703125" style="282" customWidth="1"/>
  </cols>
  <sheetData>
    <row r="1" spans="1:14" ht="15.75">
      <c r="A1" s="281" t="s">
        <v>318</v>
      </c>
    </row>
    <row r="2" spans="1:14">
      <c r="A2" s="282" t="s">
        <v>4</v>
      </c>
    </row>
    <row r="3" spans="1:14" ht="15" thickBo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92"/>
      <c r="N3" s="283"/>
    </row>
    <row r="4" spans="1:14" ht="63">
      <c r="A4" s="284" t="s">
        <v>319</v>
      </c>
      <c r="B4" s="293" t="s">
        <v>330</v>
      </c>
      <c r="C4" s="293" t="s">
        <v>331</v>
      </c>
      <c r="D4" s="293" t="s">
        <v>332</v>
      </c>
      <c r="E4" s="294" t="s">
        <v>333</v>
      </c>
      <c r="F4" s="293" t="s">
        <v>334</v>
      </c>
      <c r="G4" s="293" t="s">
        <v>335</v>
      </c>
      <c r="H4" s="293" t="s">
        <v>336</v>
      </c>
      <c r="I4" s="294" t="s">
        <v>337</v>
      </c>
    </row>
    <row r="5" spans="1:14" ht="15">
      <c r="A5" s="285" t="s">
        <v>320</v>
      </c>
      <c r="B5" s="295">
        <f>GETPIVOTDATA("Annual Gross Expenditure (£)",'[1]Sept (Exec)'!$A$3,"AD Description","Chief Exec")</f>
        <v>1674600</v>
      </c>
      <c r="C5" s="295">
        <f>GETPIVOTDATA("Annual Gross Income (£)",'[1]Sept (Exec)'!$A$3,"AD Description","Chief Exec")</f>
        <v>0</v>
      </c>
      <c r="D5" s="295">
        <f>GETPIVOTDATA("Annual Recharges (£)",'[1]Sept (Exec)'!$A$3,"AD Description","Chief Exec")</f>
        <v>-1119900</v>
      </c>
      <c r="E5" s="296">
        <f>SUM(B5:D5)</f>
        <v>554700</v>
      </c>
      <c r="F5" s="295">
        <f>GETPIVOTDATA("Budget Expenditure to date (£)",'[1]Sept (Exec)'!$A$3,"AD Description","Chief Exec")</f>
        <v>802786</v>
      </c>
      <c r="G5" s="295">
        <f>GETPIVOTDATA("Budget Income to date (£)",'[1]Sept (Exec)'!$A$3,"AD Description","Chief Exec")</f>
        <v>0</v>
      </c>
      <c r="H5" s="295">
        <f>GETPIVOTDATA("Budget Recharges to date (£)",'[1]Sept (Exec)'!$A$3,"AD Description","Chief Exec")</f>
        <v>-549124</v>
      </c>
      <c r="I5" s="296">
        <f>SUM(F5:H5)</f>
        <v>253662</v>
      </c>
    </row>
    <row r="6" spans="1:14" ht="15">
      <c r="A6" s="285" t="s">
        <v>321</v>
      </c>
      <c r="B6" s="297">
        <f>GETPIVOTDATA("Annual Gross Expenditure (£)",'[1]Sept (Exec)'!$A$3,"AD Description","Deputy CE")</f>
        <v>117600</v>
      </c>
      <c r="C6" s="297">
        <f>GETPIVOTDATA("Annual Gross Income (£)",'[1]Sept (Exec)'!$A$3,"AD Description","Deputy CE")</f>
        <v>0</v>
      </c>
      <c r="D6" s="297">
        <f>GETPIVOTDATA("Annual Recharges (£)",'[1]Sept (Exec)'!$A$3,"AD Description","Deputy CE")</f>
        <v>-117800</v>
      </c>
      <c r="E6" s="296">
        <f t="shared" ref="E6:E12" si="0">SUM(B6:D6)</f>
        <v>-200</v>
      </c>
      <c r="F6" s="295">
        <f>GETPIVOTDATA("Budget Expenditure to date (£)",'[1]Sept (Exec)'!$A$3,"AD Description","Deputy CE")</f>
        <v>59130</v>
      </c>
      <c r="G6" s="295">
        <f>GETPIVOTDATA("Budget Income to date (£)",'[1]Sept (Exec)'!$A$3,"AD Description","Deputy CE")</f>
        <v>0</v>
      </c>
      <c r="H6" s="295">
        <f>GETPIVOTDATA("Budget Recharges to date (£)",'[1]Sept (Exec)'!$A$3,"AD Description","Deputy CE")</f>
        <v>-58927</v>
      </c>
      <c r="I6" s="296">
        <f t="shared" ref="I6:I12" si="1">SUM(F6:H6)</f>
        <v>203</v>
      </c>
    </row>
    <row r="7" spans="1:14" ht="15">
      <c r="A7" s="285" t="s">
        <v>322</v>
      </c>
      <c r="B7" s="297">
        <f>GETPIVOTDATA("Annual Gross Expenditure (£)",'[1]Sept (Exec)'!$A$3,"AD Description","Governance")</f>
        <v>4014700</v>
      </c>
      <c r="C7" s="297">
        <f>GETPIVOTDATA("Annual Gross Income (£)",'[1]Sept (Exec)'!$A$3,"AD Description","Governance")</f>
        <v>-483800</v>
      </c>
      <c r="D7" s="297">
        <f>GETPIVOTDATA("Annual Recharges (£)",'[1]Sept (Exec)'!$A$3,"AD Description","Governance")</f>
        <v>-954600</v>
      </c>
      <c r="E7" s="296">
        <f t="shared" si="0"/>
        <v>2576300</v>
      </c>
      <c r="F7" s="295">
        <f>GETPIVOTDATA("Budget Expenditure to date (£)",'[1]Sept (Exec)'!$A$3,"AD Description","Governance")</f>
        <v>2138201</v>
      </c>
      <c r="G7" s="295">
        <f>GETPIVOTDATA("Budget Income to date (£)",'[1]Sept (Exec)'!$A$3,"AD Description","Governance")</f>
        <v>-305745</v>
      </c>
      <c r="H7" s="295">
        <f>GETPIVOTDATA("Budget Recharges to date (£)",'[1]Sept (Exec)'!$A$3,"AD Description","Governance")</f>
        <v>-477502</v>
      </c>
      <c r="I7" s="296">
        <f t="shared" si="1"/>
        <v>1354954</v>
      </c>
    </row>
    <row r="8" spans="1:14" ht="15">
      <c r="A8" s="285" t="s">
        <v>323</v>
      </c>
      <c r="B8" s="297">
        <f>GETPIVOTDATA("Annual Gross Expenditure (£)",'[1]Sept (Exec)'!$A$3,"AD Description","Resources")</f>
        <v>47426700</v>
      </c>
      <c r="C8" s="297">
        <f>GETPIVOTDATA("Annual Gross Income (£)",'[1]Sept (Exec)'!$A$3,"AD Description","Resources")</f>
        <v>-41614500</v>
      </c>
      <c r="D8" s="297">
        <f>GETPIVOTDATA("Annual Recharges (£)",'[1]Sept (Exec)'!$A$3,"AD Description","Resources")</f>
        <v>-6762400</v>
      </c>
      <c r="E8" s="296">
        <f t="shared" si="0"/>
        <v>-950200</v>
      </c>
      <c r="F8" s="295">
        <f>GETPIVOTDATA("Budget Expenditure to date (£)",'[1]Sept (Exec)'!$A$3,"AD Description","Resources")</f>
        <v>25237508</v>
      </c>
      <c r="G8" s="295">
        <f>GETPIVOTDATA("Budget Income to date (£)",'[1]Sept (Exec)'!$A$3,"AD Description","Resources")</f>
        <v>-21344352</v>
      </c>
      <c r="H8" s="295">
        <f>GETPIVOTDATA("Budget Recharges to date (£)",'[1]Sept (Exec)'!$A$3,"AD Description","Resources")</f>
        <v>-3571822</v>
      </c>
      <c r="I8" s="296">
        <f t="shared" si="1"/>
        <v>321334</v>
      </c>
    </row>
    <row r="9" spans="1:14" ht="15">
      <c r="A9" s="285" t="s">
        <v>324</v>
      </c>
      <c r="B9" s="297">
        <f>GETPIVOTDATA("Annual Gross Expenditure (£)",'[1]Sept (Exec)'!$A$3,"AD Description","Strategic Director")</f>
        <v>405400</v>
      </c>
      <c r="C9" s="297">
        <f>GETPIVOTDATA("Annual Gross Income (£)",'[1]Sept (Exec)'!$A$3,"AD Description","Strategic Director")</f>
        <v>0</v>
      </c>
      <c r="D9" s="297">
        <f>GETPIVOTDATA("Annual Recharges (£)",'[1]Sept (Exec)'!$A$3,"AD Description","Strategic Director")</f>
        <v>-337600</v>
      </c>
      <c r="E9" s="296">
        <f t="shared" si="0"/>
        <v>67800</v>
      </c>
      <c r="F9" s="295">
        <f>GETPIVOTDATA("Budget Expenditure to date (£)",'[1]Sept (Exec)'!$A$3,"AD Description","Strategic Director")</f>
        <v>200398</v>
      </c>
      <c r="G9" s="295">
        <f>GETPIVOTDATA("Budget Income to date (£)",'[1]Sept (Exec)'!$A$3,"AD Description","Strategic Director")</f>
        <v>0</v>
      </c>
      <c r="H9" s="295">
        <f>GETPIVOTDATA("Budget Recharges to date (£)",'[1]Sept (Exec)'!$A$3,"AD Description","Strategic Director")</f>
        <v>-168869</v>
      </c>
      <c r="I9" s="296">
        <f t="shared" si="1"/>
        <v>31529</v>
      </c>
    </row>
    <row r="10" spans="1:14" ht="15">
      <c r="A10" s="285" t="s">
        <v>325</v>
      </c>
      <c r="B10" s="297">
        <f>GETPIVOTDATA("Annual Gross Expenditure (£)",'[1]Sept (Exec)'!$A$3,"AD Description","Community Engagement")</f>
        <v>13367700</v>
      </c>
      <c r="C10" s="297">
        <f>GETPIVOTDATA("Annual Gross Income (£)",'[1]Sept (Exec)'!$A$3,"AD Description","Community Engagement")</f>
        <v>-3774300</v>
      </c>
      <c r="D10" s="297">
        <f>GETPIVOTDATA("Annual Recharges (£)",'[1]Sept (Exec)'!$A$3,"AD Description","Community Engagement")</f>
        <v>-1133600</v>
      </c>
      <c r="E10" s="296">
        <f t="shared" si="0"/>
        <v>8459800</v>
      </c>
      <c r="F10" s="295">
        <f>GETPIVOTDATA("Budget Expenditure to date (£)",'[1]Sept (Exec)'!$A$3,"AD Description","Community Engagement")</f>
        <v>7316171</v>
      </c>
      <c r="G10" s="295">
        <f>GETPIVOTDATA("Budget Income to date (£)",'[1]Sept (Exec)'!$A$3,"AD Description","Community Engagement")</f>
        <v>-2610662</v>
      </c>
      <c r="H10" s="295">
        <f>GETPIVOTDATA("Budget Recharges to date (£)",'[1]Sept (Exec)'!$A$3,"AD Description","Community Engagement")</f>
        <v>-567036</v>
      </c>
      <c r="I10" s="296">
        <f t="shared" si="1"/>
        <v>4138473</v>
      </c>
    </row>
    <row r="11" spans="1:14" ht="15">
      <c r="A11" s="285" t="s">
        <v>326</v>
      </c>
      <c r="B11" s="297">
        <f>GETPIVOTDATA("Annual Gross Expenditure (£)",'[1]Sept (Exec)'!$A$3,"AD Description","Economic Development")</f>
        <v>5306500</v>
      </c>
      <c r="C11" s="297">
        <f>GETPIVOTDATA("Annual Gross Income (£)",'[1]Sept (Exec)'!$A$3,"AD Description","Economic Development")</f>
        <v>-1625700</v>
      </c>
      <c r="D11" s="297">
        <f>GETPIVOTDATA("Annual Recharges (£)",'[1]Sept (Exec)'!$A$3,"AD Description","Economic Development")</f>
        <v>-500500</v>
      </c>
      <c r="E11" s="296">
        <f t="shared" si="0"/>
        <v>3180300</v>
      </c>
      <c r="F11" s="295">
        <f>GETPIVOTDATA("Budget Expenditure to date (£)",'[1]Sept (Exec)'!$A$3,"AD Description","Economic Development")</f>
        <v>2377834</v>
      </c>
      <c r="G11" s="295">
        <f>GETPIVOTDATA("Budget Income to date (£)",'[1]Sept (Exec)'!$A$3,"AD Description","Economic Development")</f>
        <v>-870206</v>
      </c>
      <c r="H11" s="295">
        <f>GETPIVOTDATA("Budget Recharges to date (£)",'[1]Sept (Exec)'!$A$3,"AD Description","Economic Development")</f>
        <v>-250368</v>
      </c>
      <c r="I11" s="296">
        <f t="shared" si="1"/>
        <v>1257260</v>
      </c>
    </row>
    <row r="12" spans="1:14" ht="15.75" thickBot="1">
      <c r="A12" s="286" t="s">
        <v>327</v>
      </c>
      <c r="B12" s="298">
        <f>GETPIVOTDATA("Annual Gross Expenditure (£)",'[1]Sept (Exec)'!$A$3,"AD Description","Local Environment")</f>
        <v>18841900</v>
      </c>
      <c r="C12" s="298">
        <f>GETPIVOTDATA("Annual Gross Income (£)",'[1]Sept (Exec)'!$A$3,"AD Description","Local Environment")</f>
        <v>-10001300</v>
      </c>
      <c r="D12" s="298">
        <f>GETPIVOTDATA("Annual Recharges (£)",'[1]Sept (Exec)'!$A$3,"AD Description","Local Environment")</f>
        <v>-2136900</v>
      </c>
      <c r="E12" s="296">
        <f t="shared" si="0"/>
        <v>6703700</v>
      </c>
      <c r="F12" s="299">
        <f>GETPIVOTDATA("Budget Expenditure to date (£)",'[1]Sept (Exec)'!$A$3,"AD Description","Local Environment")</f>
        <v>10122920</v>
      </c>
      <c r="G12" s="299">
        <f>GETPIVOTDATA("Budget Income to date (£)",'[1]Sept (Exec)'!$A$3,"AD Description","Local Environment")</f>
        <v>-5192020</v>
      </c>
      <c r="H12" s="299">
        <f>GETPIVOTDATA("Budget Recharges to date (£)",'[1]Sept (Exec)'!$A$3,"AD Description","Local Environment")</f>
        <v>-1068896</v>
      </c>
      <c r="I12" s="296">
        <f t="shared" si="1"/>
        <v>3862004</v>
      </c>
    </row>
    <row r="13" spans="1:14" ht="16.5" thickBot="1">
      <c r="A13" s="287" t="s">
        <v>0</v>
      </c>
      <c r="B13" s="300">
        <f t="shared" ref="B13:D13" si="2">SUM(B5:B12)</f>
        <v>91155100</v>
      </c>
      <c r="C13" s="300">
        <f t="shared" si="2"/>
        <v>-57499600</v>
      </c>
      <c r="D13" s="300">
        <f t="shared" si="2"/>
        <v>-13063300</v>
      </c>
      <c r="E13" s="301">
        <f>SUM(E5:E12)</f>
        <v>20592200</v>
      </c>
      <c r="F13" s="300">
        <f t="shared" ref="F13:H13" si="3">SUM(F5:F12)</f>
        <v>48254948</v>
      </c>
      <c r="G13" s="300">
        <f t="shared" si="3"/>
        <v>-30322985</v>
      </c>
      <c r="H13" s="300">
        <f t="shared" si="3"/>
        <v>-6712544</v>
      </c>
      <c r="I13" s="301">
        <f>SUM(I5:I12)</f>
        <v>11219419</v>
      </c>
    </row>
    <row r="14" spans="1:14" ht="15.75">
      <c r="A14" s="288"/>
      <c r="B14" s="302"/>
      <c r="C14" s="302"/>
      <c r="D14" s="302"/>
      <c r="E14" s="302"/>
      <c r="F14" s="302"/>
      <c r="G14" s="302"/>
      <c r="H14" s="302"/>
      <c r="I14" s="302"/>
    </row>
    <row r="15" spans="1:14" ht="15">
      <c r="A15" s="289" t="s">
        <v>328</v>
      </c>
      <c r="B15" s="303">
        <v>91155100</v>
      </c>
      <c r="C15" s="303">
        <v>-57499600</v>
      </c>
      <c r="D15" s="303">
        <v>-13063300</v>
      </c>
      <c r="E15" s="303">
        <v>20592200</v>
      </c>
      <c r="F15" s="303">
        <v>48254948</v>
      </c>
      <c r="G15" s="303">
        <v>-30322985</v>
      </c>
      <c r="H15" s="303">
        <v>-6712544</v>
      </c>
      <c r="I15" s="303">
        <v>11219419</v>
      </c>
    </row>
    <row r="16" spans="1:14" ht="15">
      <c r="A16" s="290" t="s">
        <v>329</v>
      </c>
      <c r="B16" s="304">
        <f t="shared" ref="B16:I16" si="4">B15-B13</f>
        <v>0</v>
      </c>
      <c r="C16" s="304">
        <f t="shared" si="4"/>
        <v>0</v>
      </c>
      <c r="D16" s="304">
        <f t="shared" si="4"/>
        <v>0</v>
      </c>
      <c r="E16" s="304">
        <f t="shared" si="4"/>
        <v>0</v>
      </c>
      <c r="F16" s="304">
        <f t="shared" si="4"/>
        <v>0</v>
      </c>
      <c r="G16" s="304">
        <f t="shared" si="4"/>
        <v>0</v>
      </c>
      <c r="H16" s="304">
        <f t="shared" si="4"/>
        <v>0</v>
      </c>
      <c r="I16" s="304">
        <f t="shared" si="4"/>
        <v>0</v>
      </c>
    </row>
    <row r="17" spans="1:6" ht="15" thickBot="1"/>
    <row r="18" spans="1:6" ht="31.5">
      <c r="A18" s="284" t="s">
        <v>319</v>
      </c>
      <c r="B18" s="293" t="s">
        <v>338</v>
      </c>
      <c r="C18" s="293" t="s">
        <v>339</v>
      </c>
      <c r="D18" s="293" t="s">
        <v>340</v>
      </c>
      <c r="E18" s="294" t="s">
        <v>341</v>
      </c>
      <c r="F18" s="305" t="s">
        <v>342</v>
      </c>
    </row>
    <row r="19" spans="1:6" ht="15">
      <c r="A19" s="285" t="s">
        <v>320</v>
      </c>
      <c r="B19" s="295">
        <f>GETPIVOTDATA("Actual Expenditure to date (£)",'[1]Sept (Exec)'!$A$3,"AD Description","Chief Exec")</f>
        <v>784412.79999999993</v>
      </c>
      <c r="C19" s="295">
        <f>GETPIVOTDATA("Actual Income  to date (£)",'[1]Sept (Exec)'!$A$3,"AD Description","Chief Exec")</f>
        <v>-2548.94</v>
      </c>
      <c r="D19" s="295">
        <f>GETPIVOTDATA("Actual Recharges to date (£)",'[1]Sept (Exec)'!$A$3,"AD Description","Chief Exec")</f>
        <v>-545352.59</v>
      </c>
      <c r="E19" s="296">
        <f>SUM(B19:D19)</f>
        <v>236511.27000000002</v>
      </c>
      <c r="F19" s="306">
        <f t="shared" ref="F19:F26" si="5">E19-I5</f>
        <v>-17150.729999999981</v>
      </c>
    </row>
    <row r="20" spans="1:6" ht="15">
      <c r="A20" s="285" t="s">
        <v>321</v>
      </c>
      <c r="B20" s="295">
        <f>GETPIVOTDATA("Actual Expenditure to date (£)",'[1]Sept (Exec)'!$A$3,"AD Description","Deputy CE")</f>
        <v>58012.68</v>
      </c>
      <c r="C20" s="295">
        <f>GETPIVOTDATA("Actual Income  to date (£)",'[1]Sept (Exec)'!$A$3,"AD Description","Deputy CE")</f>
        <v>0</v>
      </c>
      <c r="D20" s="295">
        <f>GETPIVOTDATA("Actual Recharges to date (£)",'[1]Sept (Exec)'!$A$3,"AD Description","Deputy CE")</f>
        <v>-58935.28</v>
      </c>
      <c r="E20" s="296">
        <f t="shared" ref="E20:E26" si="6">SUM(B20:D20)</f>
        <v>-922.59999999999854</v>
      </c>
      <c r="F20" s="306">
        <f t="shared" si="5"/>
        <v>-1125.5999999999985</v>
      </c>
    </row>
    <row r="21" spans="1:6" ht="15">
      <c r="A21" s="285" t="s">
        <v>322</v>
      </c>
      <c r="B21" s="295">
        <f>GETPIVOTDATA("Actual Expenditure to date (£)",'[1]Sept (Exec)'!$A$3,"AD Description","Governance")</f>
        <v>2090385.1</v>
      </c>
      <c r="C21" s="295">
        <f>GETPIVOTDATA("Actual Income  to date (£)",'[1]Sept (Exec)'!$A$3,"AD Description","Governance")</f>
        <v>-328159.68</v>
      </c>
      <c r="D21" s="295">
        <f>GETPIVOTDATA("Actual Recharges to date (£)",'[1]Sept (Exec)'!$A$3,"AD Description","Governance")</f>
        <v>-477518.14</v>
      </c>
      <c r="E21" s="296">
        <f t="shared" si="6"/>
        <v>1284707.2800000003</v>
      </c>
      <c r="F21" s="306">
        <f t="shared" si="5"/>
        <v>-70246.719999999739</v>
      </c>
    </row>
    <row r="22" spans="1:6" ht="15">
      <c r="A22" s="285" t="s">
        <v>323</v>
      </c>
      <c r="B22" s="295">
        <f>GETPIVOTDATA("Actual Expenditure to date (£)",'[1]Sept (Exec)'!$A$3,"AD Description","Resources")</f>
        <v>25240063.590000004</v>
      </c>
      <c r="C22" s="295">
        <f>GETPIVOTDATA("Actual Income  to date (£)",'[1]Sept (Exec)'!$A$3,"AD Description","Resources")</f>
        <v>-21187769.280000001</v>
      </c>
      <c r="D22" s="295">
        <f>GETPIVOTDATA("Actual Recharges to date (£)",'[1]Sept (Exec)'!$A$3,"AD Description","Resources")</f>
        <v>-3551261.46</v>
      </c>
      <c r="E22" s="296">
        <f t="shared" si="6"/>
        <v>501032.85000000242</v>
      </c>
      <c r="F22" s="306">
        <f t="shared" si="5"/>
        <v>179698.85000000242</v>
      </c>
    </row>
    <row r="23" spans="1:6" ht="15">
      <c r="A23" s="285" t="s">
        <v>324</v>
      </c>
      <c r="B23" s="295">
        <f>GETPIVOTDATA("Actual Expenditure to date (£)",'[1]Sept (Exec)'!$A$3,"AD Description","Strategic Director")</f>
        <v>174046.14</v>
      </c>
      <c r="C23" s="295">
        <f>GETPIVOTDATA("Actual Income  to date (£)",'[1]Sept (Exec)'!$A$3,"AD Description","Strategic Director")</f>
        <v>-75.680000000000007</v>
      </c>
      <c r="D23" s="295">
        <f>GETPIVOTDATA("Actual Recharges to date (£)",'[1]Sept (Exec)'!$A$3,"AD Description","Strategic Director")</f>
        <v>-168870.28</v>
      </c>
      <c r="E23" s="296">
        <f t="shared" si="6"/>
        <v>5100.1800000000221</v>
      </c>
      <c r="F23" s="306">
        <f t="shared" si="5"/>
        <v>-26428.819999999978</v>
      </c>
    </row>
    <row r="24" spans="1:6" ht="15">
      <c r="A24" s="285" t="s">
        <v>325</v>
      </c>
      <c r="B24" s="295">
        <f>GETPIVOTDATA("Actual Expenditure to date (£)",'[1]Sept (Exec)'!$A$3,"AD Description","Community Engagement")</f>
        <v>7610626.2600000026</v>
      </c>
      <c r="C24" s="295">
        <f>GETPIVOTDATA("Actual Income  to date (£)",'[1]Sept (Exec)'!$A$3,"AD Description","Community Engagement")</f>
        <v>-3043410.1600000006</v>
      </c>
      <c r="D24" s="295">
        <f>GETPIVOTDATA("Actual Recharges to date (£)",'[1]Sept (Exec)'!$A$3,"AD Description","Community Engagement")</f>
        <v>-567037.62</v>
      </c>
      <c r="E24" s="296">
        <f t="shared" si="6"/>
        <v>4000178.4800000014</v>
      </c>
      <c r="F24" s="306">
        <f t="shared" si="5"/>
        <v>-138294.51999999862</v>
      </c>
    </row>
    <row r="25" spans="1:6" ht="15">
      <c r="A25" s="285" t="s">
        <v>326</v>
      </c>
      <c r="B25" s="295">
        <f>GETPIVOTDATA("Actual Expenditure to date (£)",'[1]Sept (Exec)'!$A$3,"AD Description","Economic Development")</f>
        <v>2389765.7200000007</v>
      </c>
      <c r="C25" s="295">
        <f>GETPIVOTDATA("Actual Income  to date (£)",'[1]Sept (Exec)'!$A$3,"AD Description","Economic Development")</f>
        <v>-797375.7200000002</v>
      </c>
      <c r="D25" s="295">
        <f>GETPIVOTDATA("Actual Recharges to date (£)",'[1]Sept (Exec)'!$A$3,"AD Description","Economic Development")</f>
        <v>-250353.66</v>
      </c>
      <c r="E25" s="296">
        <f t="shared" si="6"/>
        <v>1342036.3400000005</v>
      </c>
      <c r="F25" s="306">
        <f t="shared" si="5"/>
        <v>84776.340000000549</v>
      </c>
    </row>
    <row r="26" spans="1:6" ht="15.75" thickBot="1">
      <c r="A26" s="286" t="s">
        <v>327</v>
      </c>
      <c r="B26" s="299">
        <f>GETPIVOTDATA("Actual Expenditure to date (£)",'[1]Sept (Exec)'!$A$3,"AD Description","Local Environment")</f>
        <v>10208406.050000003</v>
      </c>
      <c r="C26" s="299">
        <f>GETPIVOTDATA("Actual Income  to date (£)",'[1]Sept (Exec)'!$A$3,"AD Description","Local Environment")</f>
        <v>-5746821.5500000026</v>
      </c>
      <c r="D26" s="299">
        <f>GETPIVOTDATA("Actual Recharges to date (£)",'[1]Sept (Exec)'!$A$3,"AD Description","Local Environment")</f>
        <v>-1068877.3600000001</v>
      </c>
      <c r="E26" s="296">
        <f t="shared" si="6"/>
        <v>3392707.1399999997</v>
      </c>
      <c r="F26" s="306">
        <f t="shared" si="5"/>
        <v>-469296.86000000034</v>
      </c>
    </row>
    <row r="27" spans="1:6" ht="16.5" thickBot="1">
      <c r="A27" s="287" t="s">
        <v>0</v>
      </c>
      <c r="B27" s="300">
        <f t="shared" ref="B27:D27" si="7">SUM(B19:B26)</f>
        <v>48555718.340000011</v>
      </c>
      <c r="C27" s="300">
        <f t="shared" si="7"/>
        <v>-31106161.010000005</v>
      </c>
      <c r="D27" s="300">
        <f t="shared" si="7"/>
        <v>-6688206.3900000006</v>
      </c>
      <c r="E27" s="301">
        <f>SUM(E19:E26)</f>
        <v>10761350.940000005</v>
      </c>
      <c r="F27" s="307">
        <f t="shared" ref="F27" si="8">SUM(F19:F26)</f>
        <v>-458068.05999999569</v>
      </c>
    </row>
    <row r="28" spans="1:6" ht="15.75">
      <c r="A28" s="288"/>
      <c r="B28" s="302"/>
      <c r="C28" s="302"/>
      <c r="D28" s="302"/>
      <c r="E28" s="302"/>
      <c r="F28" s="302"/>
    </row>
    <row r="29" spans="1:6" ht="15">
      <c r="A29" s="289" t="s">
        <v>328</v>
      </c>
      <c r="B29" s="303">
        <v>48555718</v>
      </c>
      <c r="C29" s="303">
        <v>-31106161</v>
      </c>
      <c r="D29" s="303">
        <v>-6688206</v>
      </c>
      <c r="E29" s="303">
        <v>10761351</v>
      </c>
      <c r="F29" s="303">
        <v>-458068</v>
      </c>
    </row>
    <row r="30" spans="1:6" ht="15">
      <c r="A30" s="290" t="s">
        <v>329</v>
      </c>
      <c r="B30" s="304">
        <f>B29-B27</f>
        <v>-0.34000001102685928</v>
      </c>
      <c r="C30" s="304">
        <f>C29-C27</f>
        <v>1.000000536441803E-2</v>
      </c>
      <c r="D30" s="304">
        <f>D29-D27</f>
        <v>0.39000000059604645</v>
      </c>
      <c r="E30" s="304">
        <f>E29-E27</f>
        <v>5.9999994933605194E-2</v>
      </c>
      <c r="F30" s="304">
        <f>F29-F27</f>
        <v>5.9999995690304786E-2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90" zoomScaleNormal="90" workbookViewId="0">
      <selection activeCell="H22" sqref="H22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266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260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totals!B6</f>
        <v>117600</v>
      </c>
      <c r="E9" s="16">
        <f>totals!C6</f>
        <v>0</v>
      </c>
      <c r="F9" s="16">
        <f>totals!D6</f>
        <v>-117800</v>
      </c>
      <c r="G9" s="19">
        <f>SUM(D9:F9)</f>
        <v>-200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259</v>
      </c>
      <c r="B11" s="8"/>
      <c r="C11" s="12"/>
      <c r="D11" s="13">
        <f>totals!F6</f>
        <v>59130</v>
      </c>
      <c r="E11" s="16">
        <f>totals!G6</f>
        <v>0</v>
      </c>
      <c r="F11" s="16">
        <f>totals!H6</f>
        <v>-58927</v>
      </c>
      <c r="G11" s="19">
        <f>SUM(D11:F11)</f>
        <v>203</v>
      </c>
      <c r="H11" s="10"/>
    </row>
    <row r="12" spans="1:8" ht="15.75">
      <c r="A12" s="13" t="s">
        <v>29</v>
      </c>
      <c r="B12" s="8"/>
      <c r="C12" s="12"/>
      <c r="D12" s="13">
        <f>totals!B20</f>
        <v>58012.68</v>
      </c>
      <c r="E12" s="16">
        <f>totals!C20</f>
        <v>0</v>
      </c>
      <c r="F12" s="16">
        <f>totals!D20</f>
        <v>-58935.28</v>
      </c>
      <c r="G12" s="19">
        <f>SUM(D12:F12)</f>
        <v>-922.59999999999854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-1117.3199999999997</v>
      </c>
      <c r="E14" s="21">
        <f>E12-E11</f>
        <v>0</v>
      </c>
      <c r="F14" s="21">
        <f>F12-F11</f>
        <v>-8.2799999999988358</v>
      </c>
      <c r="G14" s="213">
        <f>G12-G11</f>
        <v>-1125.5999999999985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hidden="1" customHeight="1">
      <c r="A23" s="203"/>
      <c r="B23" s="204"/>
      <c r="C23" s="12"/>
      <c r="D23" s="16">
        <v>0</v>
      </c>
      <c r="E23" s="190">
        <v>0</v>
      </c>
      <c r="F23" s="14">
        <f>SUM(D23:E23)</f>
        <v>0</v>
      </c>
      <c r="H23" s="8"/>
      <c r="I23" s="8"/>
      <c r="J23" s="8"/>
    </row>
    <row r="24" spans="1:10" ht="15" hidden="1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267</v>
      </c>
      <c r="B25" s="204"/>
      <c r="C25" s="176">
        <v>1</v>
      </c>
      <c r="D25" s="18">
        <f>D14-SUM(D23:D24)</f>
        <v>-1117.3199999999997</v>
      </c>
      <c r="E25" s="18">
        <f>E14+F14-SUM(E23:E24)</f>
        <v>-8.2799999999988358</v>
      </c>
      <c r="F25" s="206">
        <f>SUM(D25:E25)</f>
        <v>-1125.5999999999985</v>
      </c>
      <c r="H25" s="8"/>
      <c r="I25" s="8"/>
      <c r="J25" s="8"/>
    </row>
    <row r="26" spans="1:10" ht="6.75" customHeight="1">
      <c r="A26" s="230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29" t="s">
        <v>3</v>
      </c>
      <c r="B27" s="229"/>
      <c r="C27" s="212"/>
      <c r="D27" s="21">
        <f>SUM(D23:D25)</f>
        <v>-1117.3199999999997</v>
      </c>
      <c r="E27" s="21">
        <f>SUM(E23:E25)</f>
        <v>-8.2799999999988358</v>
      </c>
      <c r="F27" s="213">
        <f>SUM(F23:F25)</f>
        <v>-1125.5999999999985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1" t="s">
        <v>243</v>
      </c>
      <c r="C31" s="214"/>
      <c r="D31" s="215"/>
      <c r="E31" s="215"/>
      <c r="F31" s="215"/>
      <c r="G31" s="215"/>
      <c r="H31" s="216"/>
    </row>
    <row r="32" spans="1:10" ht="9" customHeight="1">
      <c r="A32" s="228"/>
      <c r="B32" s="224"/>
      <c r="C32" s="225"/>
      <c r="D32" s="226"/>
      <c r="E32" s="226"/>
      <c r="F32" s="226"/>
      <c r="G32" s="226"/>
      <c r="H32" s="227"/>
    </row>
    <row r="33" spans="1:8">
      <c r="A33" s="207" t="s">
        <v>233</v>
      </c>
      <c r="B33" s="13" t="s">
        <v>305</v>
      </c>
      <c r="C33" s="4"/>
      <c r="D33" s="8"/>
      <c r="E33" s="8"/>
      <c r="F33" s="8"/>
      <c r="G33" s="8"/>
      <c r="H33" s="190"/>
    </row>
    <row r="34" spans="1:8">
      <c r="A34" s="207"/>
      <c r="B34" s="13"/>
      <c r="C34" s="4"/>
      <c r="D34" s="8"/>
      <c r="E34" s="8"/>
      <c r="F34" s="8"/>
      <c r="G34" s="8"/>
      <c r="H34" s="190"/>
    </row>
    <row r="35" spans="1:8">
      <c r="A35" s="207"/>
      <c r="B35" s="13" t="s">
        <v>306</v>
      </c>
      <c r="C35" s="4"/>
      <c r="D35" s="8"/>
      <c r="E35" s="8"/>
      <c r="F35" s="8"/>
      <c r="G35" s="8"/>
      <c r="H35" s="190"/>
    </row>
    <row r="36" spans="1:8">
      <c r="A36" s="16"/>
      <c r="B36" s="13" t="s">
        <v>307</v>
      </c>
      <c r="C36" s="4"/>
      <c r="D36" s="8"/>
      <c r="E36" s="8"/>
      <c r="F36" s="8"/>
      <c r="G36" s="8"/>
      <c r="H36" s="190"/>
    </row>
    <row r="37" spans="1:8" ht="15.75">
      <c r="A37" s="177"/>
      <c r="B37" s="223"/>
      <c r="C37" s="201"/>
      <c r="D37" s="6"/>
      <c r="E37" s="6"/>
      <c r="F37" s="6"/>
      <c r="G37" s="6"/>
      <c r="H37" s="173"/>
    </row>
    <row r="54" spans="1:10" s="27" customFormat="1">
      <c r="A54" s="1"/>
      <c r="B54" s="266"/>
      <c r="D54" s="1"/>
      <c r="E54" s="1"/>
      <c r="F54" s="1"/>
      <c r="G54" s="1"/>
      <c r="H54" s="1"/>
      <c r="I54" s="1"/>
      <c r="J54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A11" zoomScale="90" zoomScaleNormal="90" workbookViewId="0">
      <selection activeCell="H2" sqref="H2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266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261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totals!B7</f>
        <v>4014700</v>
      </c>
      <c r="E9" s="16">
        <f>totals!C7</f>
        <v>-483800</v>
      </c>
      <c r="F9" s="16">
        <f>totals!D7</f>
        <v>-954600</v>
      </c>
      <c r="G9" s="19">
        <f>SUM(D9:F9)</f>
        <v>2576300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259</v>
      </c>
      <c r="B11" s="8"/>
      <c r="C11" s="12"/>
      <c r="D11" s="13">
        <f>totals!F7</f>
        <v>2138201</v>
      </c>
      <c r="E11" s="16">
        <f>totals!G7</f>
        <v>-305745</v>
      </c>
      <c r="F11" s="16">
        <f>totals!H7</f>
        <v>-477502</v>
      </c>
      <c r="G11" s="19">
        <f>SUM(D11:F11)</f>
        <v>1354954</v>
      </c>
      <c r="H11" s="10"/>
    </row>
    <row r="12" spans="1:8" ht="15.75">
      <c r="A12" s="13" t="s">
        <v>29</v>
      </c>
      <c r="B12" s="8"/>
      <c r="C12" s="12"/>
      <c r="D12" s="13">
        <f>totals!B21</f>
        <v>2090385.1</v>
      </c>
      <c r="E12" s="16">
        <f>totals!C21</f>
        <v>-328159.68</v>
      </c>
      <c r="F12" s="16">
        <f>totals!D21</f>
        <v>-477518.14</v>
      </c>
      <c r="G12" s="19">
        <f>SUM(D12:F12)</f>
        <v>1284707.2800000003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-47815.899999999907</v>
      </c>
      <c r="E14" s="21">
        <f>E12-E11</f>
        <v>-22414.679999999993</v>
      </c>
      <c r="F14" s="21">
        <f>F12-F11</f>
        <v>-16.14000000001397</v>
      </c>
      <c r="G14" s="213">
        <f>G12-G11</f>
        <v>-70246.719999999739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13" t="s">
        <v>28</v>
      </c>
      <c r="B23" s="190"/>
      <c r="C23" s="211">
        <v>1</v>
      </c>
      <c r="D23" s="23">
        <v>-28079</v>
      </c>
      <c r="E23" s="190">
        <v>-13179</v>
      </c>
      <c r="F23" s="14">
        <f>SUM(D23:E23)</f>
        <v>-41258</v>
      </c>
      <c r="H23" s="4"/>
      <c r="I23" s="4"/>
      <c r="J23" s="8"/>
    </row>
    <row r="24" spans="1:10" ht="15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267</v>
      </c>
      <c r="B25" s="204"/>
      <c r="C25" s="176">
        <v>2</v>
      </c>
      <c r="D25" s="18">
        <f>D14-SUM(D22:D24)</f>
        <v>-19736.899999999907</v>
      </c>
      <c r="E25" s="18">
        <f>E14+F14-SUM(E22:E24)</f>
        <v>-9251.820000000007</v>
      </c>
      <c r="F25" s="206">
        <f>SUM(D25:E25)</f>
        <v>-28988.719999999914</v>
      </c>
      <c r="H25" s="8"/>
      <c r="I25" s="8"/>
      <c r="J25" s="8"/>
    </row>
    <row r="26" spans="1:10" ht="6.75" customHeight="1">
      <c r="A26" s="230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29" t="s">
        <v>3</v>
      </c>
      <c r="B27" s="229"/>
      <c r="C27" s="212"/>
      <c r="D27" s="21">
        <f>SUM(D22:D25)</f>
        <v>-47815.899999999907</v>
      </c>
      <c r="E27" s="21">
        <f>SUM(E22:E25)</f>
        <v>-22430.820000000007</v>
      </c>
      <c r="F27" s="213">
        <f>SUM(F22:F25)</f>
        <v>-70246.719999999914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1" t="s">
        <v>243</v>
      </c>
      <c r="C31" s="214"/>
      <c r="D31" s="215"/>
      <c r="E31" s="215"/>
      <c r="F31" s="215"/>
      <c r="G31" s="215"/>
      <c r="H31" s="216"/>
    </row>
    <row r="32" spans="1:10" ht="9" customHeight="1">
      <c r="A32" s="228"/>
      <c r="B32" s="224"/>
      <c r="C32" s="225"/>
      <c r="D32" s="226"/>
      <c r="E32" s="226"/>
      <c r="F32" s="226"/>
      <c r="G32" s="226"/>
      <c r="H32" s="227"/>
    </row>
    <row r="33" spans="1:8">
      <c r="A33" s="207" t="s">
        <v>233</v>
      </c>
      <c r="B33" s="203" t="s">
        <v>343</v>
      </c>
      <c r="C33" s="4"/>
      <c r="D33" s="8"/>
      <c r="E33" s="8"/>
      <c r="F33" s="8"/>
      <c r="G33" s="8"/>
      <c r="H33" s="190"/>
    </row>
    <row r="34" spans="1:8">
      <c r="A34" s="207"/>
      <c r="B34" s="203" t="s">
        <v>344</v>
      </c>
      <c r="C34" s="4"/>
      <c r="D34" s="8"/>
      <c r="E34" s="8"/>
      <c r="F34" s="8"/>
      <c r="G34" s="8"/>
      <c r="H34" s="190"/>
    </row>
    <row r="35" spans="1:8">
      <c r="A35" s="207" t="s">
        <v>234</v>
      </c>
      <c r="B35" s="203" t="s">
        <v>345</v>
      </c>
      <c r="C35" s="4"/>
      <c r="D35" s="8"/>
      <c r="E35" s="8"/>
      <c r="F35" s="8"/>
      <c r="G35" s="8"/>
      <c r="H35" s="190"/>
    </row>
    <row r="36" spans="1:8" ht="15.75">
      <c r="A36" s="177"/>
      <c r="B36" s="223"/>
      <c r="C36" s="201"/>
      <c r="D36" s="6"/>
      <c r="E36" s="6"/>
      <c r="F36" s="6"/>
      <c r="G36" s="6"/>
      <c r="H36" s="173"/>
    </row>
    <row r="53" spans="1:10" s="27" customFormat="1">
      <c r="A53" s="1"/>
      <c r="B53" s="266"/>
      <c r="D53" s="1"/>
      <c r="E53" s="1"/>
      <c r="F53" s="1"/>
      <c r="G53" s="1"/>
      <c r="H53" s="1"/>
      <c r="I53" s="1"/>
      <c r="J53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opLeftCell="A28" zoomScale="90" zoomScaleNormal="90" workbookViewId="0">
      <selection activeCell="G34" sqref="G34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4.28515625" style="1" bestFit="1" customWidth="1"/>
    <col min="6" max="6" width="14.7109375" style="1" customWidth="1"/>
    <col min="7" max="7" width="15" style="1" customWidth="1"/>
    <col min="8" max="8" width="11" style="1" bestFit="1" customWidth="1"/>
    <col min="9" max="9" width="9.140625" style="1"/>
    <col min="10" max="10" width="9.7109375" style="1" bestFit="1" customWidth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13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262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totals!B8+totals!B6+totals!B9</f>
        <v>47949700</v>
      </c>
      <c r="E9" s="13">
        <f>totals!C8+totals!C6+totals!C9</f>
        <v>-41614500</v>
      </c>
      <c r="F9" s="13">
        <f>totals!D8+totals!D6+totals!D9</f>
        <v>-7217800</v>
      </c>
      <c r="G9" s="19">
        <f>SUM(D9:F9)</f>
        <v>-882600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259</v>
      </c>
      <c r="B11" s="8"/>
      <c r="C11" s="12"/>
      <c r="D11" s="13">
        <f>totals!F8+totals!F6+totals!F9</f>
        <v>25497036</v>
      </c>
      <c r="E11" s="13">
        <f>totals!G8+totals!G6+totals!G9</f>
        <v>-21344352</v>
      </c>
      <c r="F11" s="13">
        <f>totals!H8+totals!H6+totals!H9</f>
        <v>-3799618</v>
      </c>
      <c r="G11" s="19">
        <f>SUM(D11:F11)</f>
        <v>353066</v>
      </c>
      <c r="H11" s="10"/>
    </row>
    <row r="12" spans="1:8" ht="15.75">
      <c r="A12" s="13" t="s">
        <v>29</v>
      </c>
      <c r="B12" s="8"/>
      <c r="C12" s="12"/>
      <c r="D12" s="13">
        <f>totals!B22+totals!B20+totals!B23</f>
        <v>25472122.410000004</v>
      </c>
      <c r="E12" s="13">
        <f>totals!C22+totals!C20+totals!C23</f>
        <v>-21187844.960000001</v>
      </c>
      <c r="F12" s="13">
        <f>totals!D22+totals!D20+totals!D23</f>
        <v>-3779067.0199999996</v>
      </c>
      <c r="G12" s="19">
        <f>SUM(D12:F12)</f>
        <v>505210.43000000343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-24913.589999996126</v>
      </c>
      <c r="E14" s="21">
        <f>E12-E11</f>
        <v>156507.03999999911</v>
      </c>
      <c r="F14" s="21">
        <f>F12-F11</f>
        <v>20550.980000000447</v>
      </c>
      <c r="G14" s="213">
        <f>G12-G11</f>
        <v>152144.43000000343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203" t="s">
        <v>302</v>
      </c>
      <c r="B23" s="204"/>
      <c r="C23" s="12">
        <v>1</v>
      </c>
      <c r="D23" s="16">
        <v>-24851</v>
      </c>
      <c r="E23" s="190">
        <f>-76+8</f>
        <v>-68</v>
      </c>
      <c r="F23" s="14">
        <f>SUM(D23:E23)</f>
        <v>-24919</v>
      </c>
      <c r="H23" s="8"/>
      <c r="I23" s="8"/>
      <c r="J23" s="8"/>
    </row>
    <row r="24" spans="1:10" ht="15" customHeight="1">
      <c r="A24" s="203" t="s">
        <v>269</v>
      </c>
      <c r="B24" s="204"/>
      <c r="C24" s="12">
        <v>2</v>
      </c>
      <c r="D24" s="16">
        <v>47258</v>
      </c>
      <c r="E24" s="190">
        <v>59594</v>
      </c>
      <c r="F24" s="14">
        <f>SUM(D24:E24)</f>
        <v>106852</v>
      </c>
      <c r="H24" s="8"/>
      <c r="I24" s="8"/>
      <c r="J24" s="8"/>
    </row>
    <row r="25" spans="1:10" ht="15" customHeight="1">
      <c r="A25" s="203" t="s">
        <v>268</v>
      </c>
      <c r="B25" s="204"/>
      <c r="C25" s="12">
        <v>3</v>
      </c>
      <c r="D25" s="16">
        <v>4384</v>
      </c>
      <c r="E25" s="190">
        <v>25499</v>
      </c>
      <c r="F25" s="14">
        <f t="shared" ref="F25:F28" si="0">SUM(D25:E25)</f>
        <v>29883</v>
      </c>
      <c r="H25" s="8"/>
      <c r="I25" s="8"/>
      <c r="J25" s="8"/>
    </row>
    <row r="26" spans="1:10" ht="15" customHeight="1">
      <c r="A26" s="203" t="s">
        <v>32</v>
      </c>
      <c r="B26" s="204"/>
      <c r="C26" s="12">
        <v>4</v>
      </c>
      <c r="D26" s="16">
        <f>-25528</f>
        <v>-25528</v>
      </c>
      <c r="E26" s="190">
        <f>21286-7</f>
        <v>21279</v>
      </c>
      <c r="F26" s="14">
        <f t="shared" si="0"/>
        <v>-4249</v>
      </c>
      <c r="H26" s="8"/>
      <c r="I26" s="8"/>
      <c r="J26" s="8"/>
    </row>
    <row r="27" spans="1:10" ht="15" customHeight="1">
      <c r="A27" s="203" t="s">
        <v>196</v>
      </c>
      <c r="B27" s="204"/>
      <c r="C27" s="12">
        <v>5</v>
      </c>
      <c r="D27" s="16">
        <f>17851-5196</f>
        <v>12655</v>
      </c>
      <c r="E27" s="190">
        <f>17184</f>
        <v>17184</v>
      </c>
      <c r="F27" s="14">
        <f t="shared" si="0"/>
        <v>29839</v>
      </c>
      <c r="H27" s="8"/>
      <c r="I27" s="8"/>
      <c r="J27" s="8"/>
    </row>
    <row r="28" spans="1:10" ht="15" customHeight="1">
      <c r="A28" s="203" t="s">
        <v>231</v>
      </c>
      <c r="B28" s="204"/>
      <c r="C28" s="12">
        <v>6</v>
      </c>
      <c r="D28" s="16">
        <f>2972+97792</f>
        <v>100764</v>
      </c>
      <c r="E28" s="190">
        <f>-318-103356-8</f>
        <v>-103682</v>
      </c>
      <c r="F28" s="14">
        <f t="shared" si="0"/>
        <v>-2918</v>
      </c>
      <c r="H28" s="8"/>
      <c r="I28" s="8"/>
      <c r="J28" s="8"/>
    </row>
    <row r="29" spans="1:10" ht="15" customHeight="1">
      <c r="A29" s="203" t="s">
        <v>270</v>
      </c>
      <c r="B29" s="204"/>
      <c r="C29" s="12">
        <v>7</v>
      </c>
      <c r="D29" s="16">
        <v>-1412</v>
      </c>
      <c r="E29" s="190">
        <v>155005</v>
      </c>
      <c r="F29" s="14">
        <f t="shared" ref="F29:F30" si="1">SUM(D29:E29)</f>
        <v>153593</v>
      </c>
      <c r="H29" s="8"/>
      <c r="I29" s="8"/>
      <c r="J29" s="8"/>
    </row>
    <row r="30" spans="1:10" ht="15" customHeight="1">
      <c r="A30" s="203" t="s">
        <v>301</v>
      </c>
      <c r="B30" s="204"/>
      <c r="C30" s="12">
        <v>8</v>
      </c>
      <c r="D30" s="16">
        <v>-50763</v>
      </c>
      <c r="E30" s="190">
        <v>-7302</v>
      </c>
      <c r="F30" s="14">
        <f t="shared" si="1"/>
        <v>-58065</v>
      </c>
      <c r="H30" s="8"/>
      <c r="I30" s="8"/>
      <c r="J30" s="8"/>
    </row>
    <row r="31" spans="1:10" ht="15" customHeight="1">
      <c r="A31" s="203"/>
      <c r="B31" s="204"/>
      <c r="C31" s="12"/>
      <c r="D31" s="16"/>
      <c r="E31" s="190"/>
      <c r="F31" s="14"/>
      <c r="H31" s="8"/>
      <c r="I31" s="8"/>
      <c r="J31" s="8"/>
    </row>
    <row r="32" spans="1:10" ht="15" customHeight="1">
      <c r="A32" s="203" t="s">
        <v>267</v>
      </c>
      <c r="B32" s="204"/>
      <c r="C32" s="176"/>
      <c r="D32" s="18">
        <f>D14-SUM(D24:D31)</f>
        <v>-112271.58999999613</v>
      </c>
      <c r="E32" s="18">
        <f>E14+F14-SUM(E24:E31)</f>
        <v>9481.019999999553</v>
      </c>
      <c r="F32" s="206">
        <f>SUM(D32:E32)</f>
        <v>-102790.56999999657</v>
      </c>
      <c r="H32" s="8"/>
      <c r="I32" s="8"/>
      <c r="J32" s="8"/>
    </row>
    <row r="33" spans="1:10" ht="6.75" customHeight="1">
      <c r="A33" s="230"/>
      <c r="B33" s="205"/>
      <c r="C33" s="12"/>
      <c r="D33" s="16"/>
      <c r="E33" s="8"/>
      <c r="F33" s="14"/>
      <c r="H33" s="8"/>
      <c r="I33" s="8"/>
      <c r="J33" s="8"/>
    </row>
    <row r="34" spans="1:10" ht="16.5" thickBot="1">
      <c r="A34" s="229" t="s">
        <v>3</v>
      </c>
      <c r="B34" s="229"/>
      <c r="C34" s="212"/>
      <c r="D34" s="21">
        <f>SUM(D22:D32)</f>
        <v>-49764.589999996126</v>
      </c>
      <c r="E34" s="21">
        <f>SUM(E22:E32)</f>
        <v>176990.01999999955</v>
      </c>
      <c r="F34" s="213">
        <f>SUM(F22:F32)</f>
        <v>127225.43000000343</v>
      </c>
      <c r="H34" s="10"/>
      <c r="I34" s="10"/>
      <c r="J34" s="8"/>
    </row>
    <row r="35" spans="1:10" ht="16.5" thickTop="1">
      <c r="A35" s="10"/>
      <c r="B35" s="10"/>
      <c r="C35" s="4"/>
      <c r="D35" s="10"/>
      <c r="E35" s="10"/>
      <c r="F35" s="10"/>
      <c r="G35" s="10"/>
      <c r="H35" s="10"/>
      <c r="I35" s="8"/>
      <c r="J35" s="8"/>
    </row>
    <row r="36" spans="1:10" ht="15.75">
      <c r="A36" s="10"/>
      <c r="B36" s="10"/>
      <c r="C36" s="4"/>
      <c r="D36" s="10"/>
      <c r="E36" s="10"/>
      <c r="F36" s="10"/>
      <c r="G36" s="10"/>
      <c r="H36" s="10"/>
    </row>
    <row r="37" spans="1:10" ht="15.75">
      <c r="A37" s="5"/>
      <c r="B37" s="5"/>
      <c r="D37" s="10"/>
      <c r="F37" s="10"/>
      <c r="G37" s="10"/>
      <c r="H37" s="10"/>
    </row>
    <row r="38" spans="1:10" ht="31.5" customHeight="1">
      <c r="A38" s="175" t="s">
        <v>1</v>
      </c>
      <c r="B38" s="221" t="s">
        <v>243</v>
      </c>
      <c r="C38" s="214"/>
      <c r="D38" s="215"/>
      <c r="E38" s="215"/>
      <c r="F38" s="215"/>
      <c r="G38" s="215"/>
      <c r="H38" s="216"/>
    </row>
    <row r="39" spans="1:10" ht="9" customHeight="1">
      <c r="A39" s="228"/>
      <c r="B39" s="224"/>
      <c r="C39" s="225"/>
      <c r="D39" s="226"/>
      <c r="E39" s="226"/>
      <c r="F39" s="226"/>
      <c r="G39" s="226"/>
      <c r="H39" s="227"/>
    </row>
    <row r="40" spans="1:10">
      <c r="A40" s="207" t="s">
        <v>233</v>
      </c>
      <c r="B40" s="203" t="s">
        <v>315</v>
      </c>
      <c r="C40" s="4"/>
      <c r="D40" s="8"/>
      <c r="E40" s="8"/>
      <c r="F40" s="8"/>
      <c r="G40" s="8"/>
      <c r="H40" s="190"/>
    </row>
    <row r="41" spans="1:10">
      <c r="A41" s="207"/>
      <c r="B41" s="203" t="s">
        <v>308</v>
      </c>
      <c r="C41" s="4"/>
      <c r="D41" s="8"/>
      <c r="E41" s="8"/>
      <c r="F41" s="8"/>
      <c r="G41" s="8"/>
      <c r="H41" s="190"/>
    </row>
    <row r="42" spans="1:10">
      <c r="A42" s="23" t="s">
        <v>4</v>
      </c>
      <c r="B42" s="203" t="s">
        <v>309</v>
      </c>
      <c r="C42" s="4"/>
      <c r="D42" s="8"/>
      <c r="E42" s="8"/>
      <c r="F42" s="8"/>
      <c r="G42" s="8"/>
      <c r="H42" s="190"/>
    </row>
    <row r="43" spans="1:10">
      <c r="A43" s="207" t="s">
        <v>234</v>
      </c>
      <c r="B43" s="203" t="s">
        <v>362</v>
      </c>
      <c r="C43" s="4"/>
      <c r="D43" s="8"/>
      <c r="E43" s="8"/>
      <c r="F43" s="8"/>
      <c r="G43" s="8"/>
      <c r="H43" s="190"/>
    </row>
    <row r="44" spans="1:10">
      <c r="A44" s="207"/>
      <c r="B44" s="203" t="s">
        <v>369</v>
      </c>
      <c r="C44" s="4"/>
      <c r="D44" s="8"/>
      <c r="E44" s="8"/>
      <c r="F44" s="8"/>
      <c r="G44" s="8"/>
      <c r="H44" s="190"/>
    </row>
    <row r="45" spans="1:10">
      <c r="A45" s="207" t="s">
        <v>235</v>
      </c>
      <c r="B45" s="203" t="s">
        <v>363</v>
      </c>
      <c r="C45" s="4"/>
      <c r="D45" s="8"/>
      <c r="E45" s="8"/>
      <c r="F45" s="8"/>
      <c r="G45" s="8"/>
      <c r="H45" s="190"/>
    </row>
    <row r="46" spans="1:10">
      <c r="A46" s="207" t="s">
        <v>236</v>
      </c>
      <c r="B46" s="203" t="s">
        <v>364</v>
      </c>
      <c r="C46" s="4"/>
      <c r="D46" s="8"/>
      <c r="E46" s="8"/>
      <c r="F46" s="8"/>
      <c r="G46" s="8"/>
      <c r="H46" s="190"/>
    </row>
    <row r="47" spans="1:10">
      <c r="A47" s="207" t="s">
        <v>237</v>
      </c>
      <c r="B47" s="203" t="s">
        <v>365</v>
      </c>
      <c r="C47" s="4"/>
      <c r="D47" s="8"/>
      <c r="E47" s="8"/>
      <c r="F47" s="8"/>
      <c r="G47" s="8"/>
      <c r="H47" s="190"/>
    </row>
    <row r="48" spans="1:10">
      <c r="A48" s="207"/>
      <c r="B48" s="203" t="s">
        <v>366</v>
      </c>
      <c r="C48" s="4"/>
      <c r="D48" s="8"/>
      <c r="E48" s="8"/>
      <c r="F48" s="8"/>
      <c r="G48" s="8"/>
      <c r="H48" s="190"/>
    </row>
    <row r="49" spans="1:8">
      <c r="A49" s="207" t="s">
        <v>238</v>
      </c>
      <c r="B49" s="16" t="s">
        <v>367</v>
      </c>
      <c r="C49" s="4"/>
      <c r="D49" s="8"/>
      <c r="E49" s="8"/>
      <c r="F49" s="8"/>
      <c r="G49" s="8"/>
      <c r="H49" s="190"/>
    </row>
    <row r="50" spans="1:8">
      <c r="A50" s="207" t="s">
        <v>239</v>
      </c>
      <c r="B50" s="13" t="s">
        <v>271</v>
      </c>
      <c r="C50" s="4"/>
      <c r="D50" s="8"/>
      <c r="E50" s="8"/>
      <c r="F50" s="8"/>
      <c r="G50" s="8"/>
      <c r="H50" s="190"/>
    </row>
    <row r="51" spans="1:8">
      <c r="A51" s="207" t="s">
        <v>240</v>
      </c>
      <c r="B51" s="13" t="s">
        <v>368</v>
      </c>
      <c r="C51" s="4"/>
      <c r="D51" s="8"/>
      <c r="E51" s="8"/>
      <c r="F51" s="8"/>
      <c r="G51" s="8"/>
      <c r="H51" s="190"/>
    </row>
    <row r="52" spans="1:8" ht="15.75">
      <c r="A52" s="177"/>
      <c r="B52" s="223"/>
      <c r="C52" s="201"/>
      <c r="D52" s="6"/>
      <c r="E52" s="6"/>
      <c r="F52" s="6"/>
      <c r="G52" s="6"/>
      <c r="H52" s="173"/>
    </row>
    <row r="69" spans="1:10" s="27" customFormat="1">
      <c r="A69" s="1"/>
      <c r="B69" s="266"/>
      <c r="D69" s="1"/>
      <c r="E69" s="1"/>
      <c r="F69" s="1"/>
      <c r="G69" s="1"/>
      <c r="H69" s="1"/>
      <c r="I69" s="1"/>
      <c r="J69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&amp;C&amp;"Arial,Bold"&amp;12&amp;A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workbookViewId="0">
      <selection activeCell="A33" sqref="A33:XFD35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.140625" style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15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298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totals!B9</f>
        <v>405400</v>
      </c>
      <c r="E9" s="13">
        <f>totals!C9</f>
        <v>0</v>
      </c>
      <c r="F9" s="13">
        <f>totals!D9</f>
        <v>-337600</v>
      </c>
      <c r="G9" s="19">
        <f>SUM(D9:F9)</f>
        <v>67800</v>
      </c>
      <c r="H9" s="10"/>
    </row>
    <row r="10" spans="1:8" ht="15.75">
      <c r="A10" s="13"/>
      <c r="B10" s="8"/>
      <c r="C10" s="12"/>
      <c r="D10" s="13"/>
      <c r="E10" s="16"/>
      <c r="F10" s="16"/>
      <c r="G10" s="19"/>
      <c r="H10" s="10"/>
    </row>
    <row r="11" spans="1:8" ht="15.75">
      <c r="A11" s="13" t="s">
        <v>259</v>
      </c>
      <c r="B11" s="8"/>
      <c r="C11" s="12"/>
      <c r="D11" s="13">
        <f>totals!F9</f>
        <v>200398</v>
      </c>
      <c r="E11" s="13">
        <f>totals!G9</f>
        <v>0</v>
      </c>
      <c r="F11" s="13">
        <f>totals!H9</f>
        <v>-168869</v>
      </c>
      <c r="G11" s="19">
        <f>SUM(D11:F11)</f>
        <v>31529</v>
      </c>
      <c r="H11" s="10"/>
    </row>
    <row r="12" spans="1:8" ht="15.75">
      <c r="A12" s="13" t="s">
        <v>29</v>
      </c>
      <c r="B12" s="8"/>
      <c r="C12" s="12"/>
      <c r="D12" s="13">
        <f>totals!B23</f>
        <v>174046.14</v>
      </c>
      <c r="E12" s="13">
        <f>totals!C23</f>
        <v>-75.680000000000007</v>
      </c>
      <c r="F12" s="13">
        <f>totals!D23</f>
        <v>-168870.28</v>
      </c>
      <c r="G12" s="19">
        <f>SUM(D12:F12)</f>
        <v>5100.1800000000221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-26351.859999999986</v>
      </c>
      <c r="E14" s="21">
        <f>E12-E11</f>
        <v>-75.680000000000007</v>
      </c>
      <c r="F14" s="21">
        <f>F12-F11</f>
        <v>-1.2799999999988358</v>
      </c>
      <c r="G14" s="213">
        <f>G12-G11</f>
        <v>-26428.819999999978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203" t="s">
        <v>302</v>
      </c>
      <c r="B23" s="204"/>
      <c r="C23" s="12">
        <v>1</v>
      </c>
      <c r="D23" s="16">
        <v>-24851</v>
      </c>
      <c r="E23" s="190">
        <f>-76+8</f>
        <v>-68</v>
      </c>
      <c r="F23" s="14">
        <f>SUM(D23:E23)</f>
        <v>-24919</v>
      </c>
      <c r="H23" s="8"/>
      <c r="I23" s="8"/>
      <c r="J23" s="8"/>
    </row>
    <row r="24" spans="1:10" ht="15" customHeight="1">
      <c r="A24" s="203"/>
      <c r="B24" s="204"/>
      <c r="C24" s="12"/>
      <c r="D24" s="16"/>
      <c r="E24" s="190"/>
      <c r="F24" s="14"/>
      <c r="H24" s="8"/>
      <c r="I24" s="8"/>
      <c r="J24" s="8"/>
    </row>
    <row r="25" spans="1:10" ht="15" customHeight="1">
      <c r="A25" s="203" t="s">
        <v>267</v>
      </c>
      <c r="B25" s="204"/>
      <c r="C25" s="176"/>
      <c r="D25" s="18">
        <f>D14-SUM(D23:D24)</f>
        <v>-1500.859999999986</v>
      </c>
      <c r="E25" s="18">
        <f>E14+F14-SUM(E23:E24)</f>
        <v>-8.9599999999988427</v>
      </c>
      <c r="F25" s="206">
        <f>SUM(D25:E25)</f>
        <v>-1509.8199999999849</v>
      </c>
      <c r="H25" s="8"/>
      <c r="I25" s="8"/>
      <c r="J25" s="8"/>
    </row>
    <row r="26" spans="1:10" ht="6.75" customHeight="1">
      <c r="A26" s="230"/>
      <c r="B26" s="205"/>
      <c r="C26" s="12"/>
      <c r="D26" s="16"/>
      <c r="E26" s="8"/>
      <c r="F26" s="14"/>
      <c r="H26" s="8"/>
      <c r="I26" s="8"/>
      <c r="J26" s="8"/>
    </row>
    <row r="27" spans="1:10" ht="16.5" thickBot="1">
      <c r="A27" s="229" t="s">
        <v>3</v>
      </c>
      <c r="B27" s="229"/>
      <c r="C27" s="212"/>
      <c r="D27" s="21">
        <f>SUM(D23:D25)</f>
        <v>-26351.859999999986</v>
      </c>
      <c r="E27" s="21">
        <f>SUM(E23:E25)</f>
        <v>-76.959999999998843</v>
      </c>
      <c r="F27" s="213">
        <f>SUM(F23:F25)</f>
        <v>-26428.819999999985</v>
      </c>
      <c r="H27" s="10"/>
      <c r="I27" s="10"/>
      <c r="J27" s="8"/>
    </row>
    <row r="28" spans="1:10" ht="16.5" thickTop="1">
      <c r="A28" s="10"/>
      <c r="B28" s="10"/>
      <c r="C28" s="4"/>
      <c r="D28" s="10"/>
      <c r="E28" s="10"/>
      <c r="F28" s="10"/>
      <c r="G28" s="10"/>
      <c r="H28" s="10"/>
      <c r="I28" s="8"/>
      <c r="J28" s="8"/>
    </row>
    <row r="29" spans="1:10" ht="15.75">
      <c r="A29" s="10"/>
      <c r="B29" s="10"/>
      <c r="C29" s="4"/>
      <c r="D29" s="10"/>
      <c r="E29" s="10"/>
      <c r="F29" s="10"/>
      <c r="G29" s="10"/>
      <c r="H29" s="10"/>
    </row>
    <row r="30" spans="1:10" ht="15.75">
      <c r="A30" s="5"/>
      <c r="B30" s="5"/>
      <c r="D30" s="10"/>
      <c r="F30" s="10"/>
      <c r="G30" s="10"/>
      <c r="H30" s="10"/>
    </row>
    <row r="31" spans="1:10" ht="31.5" customHeight="1">
      <c r="A31" s="175" t="s">
        <v>1</v>
      </c>
      <c r="B31" s="221" t="s">
        <v>243</v>
      </c>
      <c r="C31" s="214"/>
      <c r="D31" s="215"/>
      <c r="E31" s="215"/>
      <c r="F31" s="215"/>
      <c r="G31" s="215"/>
      <c r="H31" s="216"/>
    </row>
    <row r="32" spans="1:10" ht="9" customHeight="1">
      <c r="A32" s="228"/>
      <c r="B32" s="224"/>
      <c r="C32" s="225"/>
      <c r="D32" s="226"/>
      <c r="E32" s="226"/>
      <c r="F32" s="226"/>
      <c r="G32" s="226"/>
      <c r="H32" s="227"/>
    </row>
    <row r="33" spans="1:9">
      <c r="A33" s="207" t="s">
        <v>233</v>
      </c>
      <c r="B33" s="203" t="s">
        <v>315</v>
      </c>
      <c r="C33" s="4"/>
      <c r="D33" s="8"/>
      <c r="E33" s="8"/>
      <c r="F33" s="8"/>
      <c r="G33" s="8"/>
      <c r="H33" s="190"/>
    </row>
    <row r="34" spans="1:9">
      <c r="A34" s="207"/>
      <c r="B34" s="203" t="s">
        <v>308</v>
      </c>
      <c r="C34" s="4"/>
      <c r="D34" s="8"/>
      <c r="E34" s="8"/>
      <c r="F34" s="8"/>
      <c r="G34" s="8"/>
      <c r="H34" s="190"/>
    </row>
    <row r="35" spans="1:9">
      <c r="A35" s="23" t="s">
        <v>4</v>
      </c>
      <c r="B35" s="203" t="s">
        <v>309</v>
      </c>
      <c r="C35" s="4"/>
      <c r="D35" s="8"/>
      <c r="E35" s="8"/>
      <c r="F35" s="8"/>
      <c r="G35" s="8"/>
      <c r="H35" s="190"/>
    </row>
    <row r="36" spans="1:9" ht="15" customHeight="1">
      <c r="A36" s="308"/>
      <c r="B36" s="309"/>
      <c r="C36" s="310"/>
      <c r="D36" s="311"/>
      <c r="E36" s="311"/>
      <c r="F36" s="311"/>
      <c r="G36" s="311"/>
      <c r="H36" s="312"/>
    </row>
    <row r="37" spans="1:9">
      <c r="A37" s="16"/>
      <c r="B37" s="13" t="s">
        <v>303</v>
      </c>
      <c r="C37" s="4"/>
      <c r="D37" s="8"/>
      <c r="E37" s="8"/>
      <c r="F37" s="8"/>
      <c r="G37" s="8"/>
      <c r="H37" s="190"/>
    </row>
    <row r="38" spans="1:9">
      <c r="A38" s="16"/>
      <c r="B38" s="13" t="s">
        <v>304</v>
      </c>
      <c r="C38" s="4"/>
      <c r="D38" s="8"/>
      <c r="E38" s="8"/>
      <c r="F38" s="8"/>
      <c r="G38" s="8"/>
      <c r="H38" s="190"/>
    </row>
    <row r="39" spans="1:9" ht="15.75">
      <c r="A39" s="177"/>
      <c r="B39" s="223"/>
      <c r="C39" s="201"/>
      <c r="D39" s="6"/>
      <c r="E39" s="6"/>
      <c r="F39" s="6"/>
      <c r="G39" s="6"/>
      <c r="H39" s="173"/>
    </row>
    <row r="41" spans="1:9" ht="15.75">
      <c r="A41" s="5"/>
      <c r="C41" s="3"/>
      <c r="D41" s="5"/>
      <c r="E41" s="5"/>
      <c r="F41" s="5"/>
      <c r="G41" s="5"/>
      <c r="H41" s="5"/>
      <c r="I41" s="5"/>
    </row>
    <row r="42" spans="1:9" ht="15.75">
      <c r="A42" s="5"/>
      <c r="C42" s="3"/>
      <c r="D42" s="5"/>
      <c r="E42" s="5"/>
      <c r="F42" s="5"/>
      <c r="G42" s="5"/>
      <c r="H42" s="5"/>
      <c r="I42" s="5"/>
    </row>
    <row r="43" spans="1:9" ht="15.75">
      <c r="A43" s="5"/>
      <c r="C43" s="3"/>
      <c r="D43" s="5"/>
      <c r="E43" s="5"/>
      <c r="F43" s="5"/>
      <c r="G43" s="5"/>
      <c r="H43" s="5"/>
      <c r="I43" s="5"/>
    </row>
    <row r="56" spans="1:10" s="27" customFormat="1">
      <c r="A56" s="1"/>
      <c r="B56" s="266"/>
      <c r="D56" s="1"/>
      <c r="E56" s="1"/>
      <c r="F56" s="1"/>
      <c r="G56" s="1"/>
      <c r="H56" s="1"/>
      <c r="I56" s="1"/>
      <c r="J56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9" zoomScale="90" zoomScaleNormal="90" workbookViewId="0">
      <selection activeCell="H2" sqref="H2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14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263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totals!B10</f>
        <v>13367700</v>
      </c>
      <c r="E9" s="13">
        <f>totals!C10</f>
        <v>-3774300</v>
      </c>
      <c r="F9" s="13">
        <f>totals!D10</f>
        <v>-1133600</v>
      </c>
      <c r="G9" s="19">
        <f>SUM(D9:F9)</f>
        <v>8459800</v>
      </c>
      <c r="H9" s="10"/>
    </row>
    <row r="10" spans="1:8" ht="15.75">
      <c r="A10" s="13"/>
      <c r="B10" s="8"/>
      <c r="C10" s="12"/>
      <c r="D10" s="13"/>
      <c r="E10" s="13"/>
      <c r="F10" s="13"/>
      <c r="G10" s="19"/>
      <c r="H10" s="10"/>
    </row>
    <row r="11" spans="1:8" ht="15.75">
      <c r="A11" s="13" t="s">
        <v>259</v>
      </c>
      <c r="B11" s="8"/>
      <c r="C11" s="12"/>
      <c r="D11" s="13">
        <f>totals!F10</f>
        <v>7316171</v>
      </c>
      <c r="E11" s="13">
        <f>totals!G10</f>
        <v>-2610662</v>
      </c>
      <c r="F11" s="13">
        <f>totals!H10</f>
        <v>-567036</v>
      </c>
      <c r="G11" s="19">
        <f>SUM(D11:F11)</f>
        <v>4138473</v>
      </c>
      <c r="H11" s="10"/>
    </row>
    <row r="12" spans="1:8" ht="15.75">
      <c r="A12" s="13" t="s">
        <v>29</v>
      </c>
      <c r="B12" s="8"/>
      <c r="C12" s="12"/>
      <c r="D12" s="13">
        <f>totals!B24</f>
        <v>7610626.2600000026</v>
      </c>
      <c r="E12" s="13">
        <f>totals!C24</f>
        <v>-3043410.1600000006</v>
      </c>
      <c r="F12" s="13">
        <f>totals!D24</f>
        <v>-567037.62</v>
      </c>
      <c r="G12" s="19">
        <f>SUM(D12:F12)</f>
        <v>4000178.4800000014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294455.26000000257</v>
      </c>
      <c r="E14" s="21">
        <f>E12-E11</f>
        <v>-432748.16000000061</v>
      </c>
      <c r="F14" s="21">
        <f>F12-F11</f>
        <v>-1.6199999999953434</v>
      </c>
      <c r="G14" s="213">
        <f>G12-G11</f>
        <v>-138294.51999999862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203" t="s">
        <v>310</v>
      </c>
      <c r="B23" s="204"/>
      <c r="C23" s="12">
        <v>1</v>
      </c>
      <c r="D23" s="16">
        <v>-17283</v>
      </c>
      <c r="E23" s="190">
        <v>-20022</v>
      </c>
      <c r="F23" s="14">
        <f>SUM(D23:E23)</f>
        <v>-37305</v>
      </c>
      <c r="H23" s="8"/>
      <c r="I23" s="8"/>
      <c r="J23" s="8"/>
    </row>
    <row r="24" spans="1:10" ht="15" customHeight="1">
      <c r="A24" s="203" t="s">
        <v>272</v>
      </c>
      <c r="B24" s="204"/>
      <c r="C24" s="12">
        <v>2</v>
      </c>
      <c r="D24" s="16">
        <v>34779</v>
      </c>
      <c r="E24" s="190">
        <v>-42708</v>
      </c>
      <c r="F24" s="14">
        <f t="shared" ref="F24:F27" si="0">SUM(D24:E24)</f>
        <v>-7929</v>
      </c>
      <c r="H24" s="8"/>
      <c r="I24" s="8"/>
      <c r="J24" s="8"/>
    </row>
    <row r="25" spans="1:10" ht="15" customHeight="1">
      <c r="A25" s="203" t="s">
        <v>146</v>
      </c>
      <c r="B25" s="204"/>
      <c r="C25" s="12">
        <v>3</v>
      </c>
      <c r="D25" s="16">
        <v>1913</v>
      </c>
      <c r="E25" s="190">
        <f>35735+1</f>
        <v>35736</v>
      </c>
      <c r="F25" s="14">
        <f t="shared" si="0"/>
        <v>37649</v>
      </c>
      <c r="H25" s="8"/>
      <c r="I25" s="8"/>
      <c r="J25" s="8"/>
    </row>
    <row r="26" spans="1:10" ht="15" customHeight="1">
      <c r="A26" s="203" t="s">
        <v>274</v>
      </c>
      <c r="B26" s="204"/>
      <c r="C26" s="12">
        <v>4</v>
      </c>
      <c r="D26" s="16">
        <v>-4858</v>
      </c>
      <c r="E26" s="190">
        <f>-38227</f>
        <v>-38227</v>
      </c>
      <c r="F26" s="14">
        <f t="shared" si="0"/>
        <v>-43085</v>
      </c>
      <c r="H26" s="8"/>
      <c r="I26" s="8"/>
      <c r="J26" s="8"/>
    </row>
    <row r="27" spans="1:10" ht="15" customHeight="1">
      <c r="A27" s="203" t="s">
        <v>21</v>
      </c>
      <c r="B27" s="204"/>
      <c r="C27" s="12">
        <v>5</v>
      </c>
      <c r="D27" s="16">
        <v>343269</v>
      </c>
      <c r="E27" s="190">
        <v>-339354</v>
      </c>
      <c r="F27" s="14">
        <f t="shared" si="0"/>
        <v>3915</v>
      </c>
      <c r="H27" s="8"/>
      <c r="I27" s="8"/>
      <c r="J27" s="8"/>
    </row>
    <row r="28" spans="1:10" ht="15" customHeight="1">
      <c r="A28" s="203"/>
      <c r="B28" s="204"/>
      <c r="C28" s="12"/>
      <c r="D28" s="16"/>
      <c r="E28" s="190"/>
      <c r="F28" s="14"/>
      <c r="H28" s="8"/>
      <c r="I28" s="8"/>
      <c r="J28" s="8"/>
    </row>
    <row r="29" spans="1:10" ht="15" customHeight="1">
      <c r="A29" s="203" t="s">
        <v>267</v>
      </c>
      <c r="B29" s="204"/>
      <c r="C29" s="176"/>
      <c r="D29" s="18">
        <f>D14-SUM(D23:D28)</f>
        <v>-63364.73999999743</v>
      </c>
      <c r="E29" s="18">
        <f>E14+F14-SUM(E23:E28)</f>
        <v>-28174.78000000061</v>
      </c>
      <c r="F29" s="206">
        <f>SUM(D29:E29)</f>
        <v>-91539.51999999804</v>
      </c>
      <c r="H29" s="8"/>
      <c r="I29" s="8"/>
      <c r="J29" s="8"/>
    </row>
    <row r="30" spans="1:10" ht="6.75" customHeight="1">
      <c r="A30" s="230"/>
      <c r="B30" s="205"/>
      <c r="C30" s="12"/>
      <c r="D30" s="16"/>
      <c r="E30" s="8"/>
      <c r="F30" s="14"/>
      <c r="H30" s="8"/>
      <c r="I30" s="8"/>
      <c r="J30" s="8"/>
    </row>
    <row r="31" spans="1:10" ht="16.5" thickBot="1">
      <c r="A31" s="229" t="s">
        <v>3</v>
      </c>
      <c r="B31" s="229"/>
      <c r="C31" s="212"/>
      <c r="D31" s="21">
        <f>SUM(D23:D29)</f>
        <v>294455.26000000257</v>
      </c>
      <c r="E31" s="21">
        <f>SUM(E23:E29)</f>
        <v>-432749.78000000061</v>
      </c>
      <c r="F31" s="213">
        <f>SUM(F23:F29)</f>
        <v>-138294.51999999804</v>
      </c>
      <c r="H31" s="10"/>
      <c r="I31" s="10"/>
      <c r="J31" s="8"/>
    </row>
    <row r="32" spans="1:10" ht="16.5" thickTop="1">
      <c r="A32" s="10"/>
      <c r="B32" s="10"/>
      <c r="C32" s="4"/>
      <c r="D32" s="10"/>
      <c r="E32" s="10"/>
      <c r="F32" s="10"/>
      <c r="G32" s="10"/>
      <c r="H32" s="10"/>
      <c r="I32" s="8"/>
      <c r="J32" s="8"/>
    </row>
    <row r="33" spans="1:8" ht="15.75">
      <c r="A33" s="10"/>
      <c r="B33" s="10"/>
      <c r="C33" s="4"/>
      <c r="D33" s="10"/>
      <c r="E33" s="10"/>
      <c r="F33" s="10"/>
      <c r="G33" s="10"/>
      <c r="H33" s="10"/>
    </row>
    <row r="34" spans="1:8" ht="15.75">
      <c r="A34" s="5"/>
      <c r="B34" s="5"/>
      <c r="D34" s="10"/>
      <c r="F34" s="10"/>
      <c r="G34" s="10"/>
      <c r="H34" s="10"/>
    </row>
    <row r="35" spans="1:8" ht="31.5" customHeight="1">
      <c r="A35" s="175" t="s">
        <v>1</v>
      </c>
      <c r="B35" s="221" t="s">
        <v>243</v>
      </c>
      <c r="C35" s="214"/>
      <c r="D35" s="215"/>
      <c r="E35" s="215"/>
      <c r="F35" s="215"/>
      <c r="G35" s="215"/>
      <c r="H35" s="216"/>
    </row>
    <row r="36" spans="1:8" ht="9" customHeight="1">
      <c r="A36" s="228"/>
      <c r="B36" s="224"/>
      <c r="C36" s="225"/>
      <c r="D36" s="226"/>
      <c r="E36" s="226"/>
      <c r="F36" s="226"/>
      <c r="G36" s="226"/>
      <c r="H36" s="227"/>
    </row>
    <row r="37" spans="1:8">
      <c r="A37" s="207" t="s">
        <v>233</v>
      </c>
      <c r="B37" s="203" t="s">
        <v>314</v>
      </c>
      <c r="C37" s="4"/>
      <c r="D37" s="8"/>
      <c r="E37" s="8"/>
      <c r="F37" s="8"/>
      <c r="G37" s="8"/>
      <c r="H37" s="190"/>
    </row>
    <row r="38" spans="1:8">
      <c r="A38" s="207" t="s">
        <v>234</v>
      </c>
      <c r="B38" s="16" t="s">
        <v>273</v>
      </c>
      <c r="C38" s="4"/>
      <c r="D38" s="8"/>
      <c r="E38" s="8"/>
      <c r="F38" s="8"/>
      <c r="G38" s="8"/>
      <c r="H38" s="190"/>
    </row>
    <row r="39" spans="1:8">
      <c r="A39" s="207" t="s">
        <v>235</v>
      </c>
      <c r="B39" s="203" t="s">
        <v>313</v>
      </c>
      <c r="C39" s="4"/>
      <c r="D39" s="8"/>
      <c r="E39" s="8"/>
      <c r="F39" s="8"/>
      <c r="G39" s="8"/>
      <c r="H39" s="190"/>
    </row>
    <row r="40" spans="1:8">
      <c r="A40" s="207" t="s">
        <v>236</v>
      </c>
      <c r="B40" s="203" t="s">
        <v>277</v>
      </c>
      <c r="C40" s="4"/>
      <c r="D40" s="8"/>
      <c r="E40" s="8"/>
      <c r="F40" s="8"/>
      <c r="G40" s="8"/>
      <c r="H40" s="190"/>
    </row>
    <row r="41" spans="1:8">
      <c r="A41" s="207" t="s">
        <v>237</v>
      </c>
      <c r="B41" s="16" t="s">
        <v>312</v>
      </c>
      <c r="C41" s="4"/>
      <c r="D41" s="8"/>
      <c r="E41" s="8"/>
      <c r="F41" s="8"/>
      <c r="G41" s="8"/>
      <c r="H41" s="190"/>
    </row>
    <row r="42" spans="1:8">
      <c r="A42" s="207"/>
      <c r="B42" s="13" t="s">
        <v>311</v>
      </c>
      <c r="C42" s="4"/>
      <c r="D42" s="8"/>
      <c r="E42" s="8"/>
      <c r="F42" s="8"/>
      <c r="G42" s="8"/>
      <c r="H42" s="190"/>
    </row>
    <row r="43" spans="1:8" ht="15.75">
      <c r="A43" s="177"/>
      <c r="B43" s="223"/>
      <c r="C43" s="201"/>
      <c r="D43" s="6"/>
      <c r="E43" s="6"/>
      <c r="F43" s="6"/>
      <c r="G43" s="6"/>
      <c r="H43" s="173"/>
    </row>
    <row r="60" spans="1:10" s="27" customFormat="1">
      <c r="A60" s="1"/>
      <c r="B60" s="266"/>
      <c r="D60" s="1"/>
      <c r="E60" s="1"/>
      <c r="F60" s="1"/>
      <c r="G60" s="1"/>
      <c r="H60" s="1"/>
      <c r="I60" s="1"/>
      <c r="J60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workbookViewId="0">
      <selection activeCell="H2" sqref="H2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4.85546875" style="1" bestFit="1" customWidth="1"/>
    <col min="5" max="5" width="12.85546875" style="1" bestFit="1" customWidth="1"/>
    <col min="6" max="6" width="14.7109375" style="1" customWidth="1"/>
    <col min="7" max="7" width="15" style="1" customWidth="1"/>
    <col min="8" max="8" width="11" style="1" bestFit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15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264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totals!B11</f>
        <v>5306500</v>
      </c>
      <c r="E9" s="13">
        <f>totals!C11</f>
        <v>-1625700</v>
      </c>
      <c r="F9" s="13">
        <f>totals!D11</f>
        <v>-500500</v>
      </c>
      <c r="G9" s="19">
        <f>SUM(D9:F9)</f>
        <v>3180300</v>
      </c>
      <c r="H9" s="10"/>
    </row>
    <row r="10" spans="1:8" ht="15.75">
      <c r="A10" s="13"/>
      <c r="B10" s="8"/>
      <c r="C10" s="12"/>
      <c r="D10" s="13"/>
      <c r="E10" s="13"/>
      <c r="F10" s="13"/>
      <c r="G10" s="19"/>
      <c r="H10" s="10"/>
    </row>
    <row r="11" spans="1:8" ht="15.75">
      <c r="A11" s="13" t="s">
        <v>259</v>
      </c>
      <c r="B11" s="8"/>
      <c r="C11" s="12"/>
      <c r="D11" s="13">
        <f>totals!F11</f>
        <v>2377834</v>
      </c>
      <c r="E11" s="13">
        <f>totals!G11</f>
        <v>-870206</v>
      </c>
      <c r="F11" s="13">
        <f>totals!H11</f>
        <v>-250368</v>
      </c>
      <c r="G11" s="19">
        <f>SUM(D11:F11)</f>
        <v>1257260</v>
      </c>
      <c r="H11" s="10"/>
    </row>
    <row r="12" spans="1:8" ht="15.75">
      <c r="A12" s="13" t="s">
        <v>29</v>
      </c>
      <c r="B12" s="8"/>
      <c r="C12" s="12"/>
      <c r="D12" s="13">
        <f>totals!B25</f>
        <v>2389765.7200000007</v>
      </c>
      <c r="E12" s="13">
        <f>totals!C25</f>
        <v>-797375.7200000002</v>
      </c>
      <c r="F12" s="13">
        <f>totals!D25</f>
        <v>-250353.66</v>
      </c>
      <c r="G12" s="19">
        <f>SUM(D12:F12)</f>
        <v>1342036.3400000005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11931.720000000671</v>
      </c>
      <c r="E14" s="21">
        <f>E12-E11</f>
        <v>72830.279999999795</v>
      </c>
      <c r="F14" s="21">
        <f>F12-F11</f>
        <v>14.339999999996508</v>
      </c>
      <c r="G14" s="213">
        <f>G12-G11</f>
        <v>84776.340000000549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203" t="s">
        <v>275</v>
      </c>
      <c r="B23" s="204"/>
      <c r="C23" s="12">
        <v>1</v>
      </c>
      <c r="D23" s="16">
        <v>-4999</v>
      </c>
      <c r="E23" s="190">
        <v>46463</v>
      </c>
      <c r="F23" s="14">
        <f t="shared" ref="F23:F25" si="0">SUM(D23:E23)</f>
        <v>41464</v>
      </c>
      <c r="H23" s="8"/>
      <c r="I23" s="8"/>
      <c r="J23" s="8"/>
    </row>
    <row r="24" spans="1:10" ht="15" customHeight="1">
      <c r="A24" s="203" t="s">
        <v>278</v>
      </c>
      <c r="B24" s="204"/>
      <c r="C24" s="12">
        <v>2</v>
      </c>
      <c r="D24" s="16">
        <v>44481</v>
      </c>
      <c r="E24" s="190">
        <v>-91306</v>
      </c>
      <c r="F24" s="14">
        <f t="shared" si="0"/>
        <v>-46825</v>
      </c>
      <c r="H24" s="8"/>
      <c r="I24" s="8"/>
      <c r="J24" s="8"/>
    </row>
    <row r="25" spans="1:10" ht="15" customHeight="1">
      <c r="A25" s="203" t="s">
        <v>31</v>
      </c>
      <c r="B25" s="204"/>
      <c r="C25" s="12">
        <v>3</v>
      </c>
      <c r="D25" s="16">
        <v>-36689</v>
      </c>
      <c r="E25" s="190">
        <f>138232+4</f>
        <v>138236</v>
      </c>
      <c r="F25" s="14">
        <f t="shared" si="0"/>
        <v>101547</v>
      </c>
      <c r="H25" s="8"/>
      <c r="I25" s="8"/>
      <c r="J25" s="8"/>
    </row>
    <row r="26" spans="1:10" ht="15" customHeight="1">
      <c r="A26" s="203"/>
      <c r="B26" s="204"/>
      <c r="C26" s="12"/>
      <c r="D26" s="16"/>
      <c r="E26" s="190"/>
      <c r="F26" s="14"/>
      <c r="H26" s="8"/>
      <c r="I26" s="8"/>
      <c r="J26" s="8"/>
    </row>
    <row r="27" spans="1:10" ht="15" customHeight="1">
      <c r="A27" s="203" t="s">
        <v>267</v>
      </c>
      <c r="B27" s="204"/>
      <c r="C27" s="176"/>
      <c r="D27" s="18">
        <f>D14-SUM(D23:D26)</f>
        <v>9138.7200000006706</v>
      </c>
      <c r="E27" s="18">
        <f>E14+F14-SUM(E23:E26)</f>
        <v>-20548.380000000208</v>
      </c>
      <c r="F27" s="206">
        <f>SUM(D27:E27)</f>
        <v>-11409.659999999538</v>
      </c>
      <c r="H27" s="8"/>
      <c r="I27" s="8"/>
      <c r="J27" s="8"/>
    </row>
    <row r="28" spans="1:10" ht="6.75" customHeight="1">
      <c r="A28" s="230"/>
      <c r="B28" s="205"/>
      <c r="C28" s="12"/>
      <c r="D28" s="16"/>
      <c r="E28" s="8"/>
      <c r="F28" s="14"/>
      <c r="H28" s="8"/>
      <c r="I28" s="8"/>
      <c r="J28" s="8"/>
    </row>
    <row r="29" spans="1:10" ht="16.5" thickBot="1">
      <c r="A29" s="229" t="s">
        <v>3</v>
      </c>
      <c r="B29" s="229"/>
      <c r="C29" s="212"/>
      <c r="D29" s="21">
        <f>SUM(D23:D27)</f>
        <v>11931.720000000671</v>
      </c>
      <c r="E29" s="21">
        <f>SUM(E23:E27)</f>
        <v>72844.619999999792</v>
      </c>
      <c r="F29" s="213">
        <f>SUM(F23:F27)</f>
        <v>84776.340000000462</v>
      </c>
      <c r="H29" s="10"/>
      <c r="I29" s="10"/>
      <c r="J29" s="8"/>
    </row>
    <row r="30" spans="1:10" ht="16.5" thickTop="1">
      <c r="A30" s="10"/>
      <c r="B30" s="10"/>
      <c r="C30" s="4"/>
      <c r="D30" s="10"/>
      <c r="E30" s="10"/>
      <c r="F30" s="10"/>
      <c r="G30" s="10"/>
      <c r="H30" s="10"/>
      <c r="I30" s="8"/>
      <c r="J30" s="8"/>
    </row>
    <row r="31" spans="1:10" ht="15.75">
      <c r="A31" s="10"/>
      <c r="B31" s="10"/>
      <c r="C31" s="4"/>
      <c r="D31" s="10"/>
      <c r="E31" s="10"/>
      <c r="F31" s="10"/>
      <c r="G31" s="10"/>
      <c r="H31" s="10"/>
    </row>
    <row r="32" spans="1:10" ht="15.75">
      <c r="A32" s="5"/>
      <c r="B32" s="5"/>
      <c r="D32" s="10"/>
      <c r="F32" s="10"/>
      <c r="G32" s="10"/>
      <c r="H32" s="10"/>
    </row>
    <row r="33" spans="1:8" ht="31.5" customHeight="1">
      <c r="A33" s="175" t="s">
        <v>1</v>
      </c>
      <c r="B33" s="221" t="s">
        <v>243</v>
      </c>
      <c r="C33" s="214"/>
      <c r="D33" s="215"/>
      <c r="E33" s="215"/>
      <c r="F33" s="215"/>
      <c r="G33" s="215"/>
      <c r="H33" s="216"/>
    </row>
    <row r="34" spans="1:8" ht="9" customHeight="1">
      <c r="A34" s="228"/>
      <c r="B34" s="224"/>
      <c r="C34" s="225"/>
      <c r="D34" s="226"/>
      <c r="E34" s="226"/>
      <c r="F34" s="226"/>
      <c r="G34" s="226"/>
      <c r="H34" s="227"/>
    </row>
    <row r="35" spans="1:8">
      <c r="A35" s="207" t="s">
        <v>233</v>
      </c>
      <c r="B35" s="203" t="s">
        <v>276</v>
      </c>
      <c r="C35" s="4"/>
      <c r="D35" s="8"/>
      <c r="E35" s="8"/>
      <c r="F35" s="8"/>
      <c r="G35" s="8"/>
      <c r="H35" s="190"/>
    </row>
    <row r="36" spans="1:8">
      <c r="A36" s="207" t="s">
        <v>234</v>
      </c>
      <c r="B36" s="16" t="s">
        <v>316</v>
      </c>
      <c r="C36" s="4"/>
      <c r="D36" s="8"/>
      <c r="E36" s="8"/>
      <c r="F36" s="8"/>
      <c r="G36" s="8"/>
      <c r="H36" s="190"/>
    </row>
    <row r="37" spans="1:8">
      <c r="A37" s="207" t="s">
        <v>235</v>
      </c>
      <c r="B37" s="203" t="s">
        <v>346</v>
      </c>
      <c r="C37" s="4"/>
      <c r="D37" s="8"/>
      <c r="E37" s="8"/>
      <c r="F37" s="8"/>
      <c r="G37" s="8"/>
      <c r="H37" s="190"/>
    </row>
    <row r="38" spans="1:8">
      <c r="A38" s="207"/>
      <c r="B38" s="203" t="s">
        <v>347</v>
      </c>
      <c r="C38" s="4"/>
      <c r="D38" s="8"/>
      <c r="E38" s="8"/>
      <c r="F38" s="8"/>
      <c r="G38" s="8"/>
      <c r="H38" s="190"/>
    </row>
    <row r="39" spans="1:8" ht="15.75">
      <c r="A39" s="177"/>
      <c r="B39" s="223"/>
      <c r="C39" s="201"/>
      <c r="D39" s="6"/>
      <c r="E39" s="6"/>
      <c r="F39" s="6"/>
      <c r="G39" s="6"/>
      <c r="H39" s="173"/>
    </row>
    <row r="56" spans="1:10" s="27" customFormat="1">
      <c r="A56" s="1"/>
      <c r="B56" s="266"/>
      <c r="D56" s="1"/>
      <c r="E56" s="1"/>
      <c r="F56" s="1"/>
      <c r="G56" s="1"/>
      <c r="H56" s="1"/>
      <c r="I56" s="1"/>
      <c r="J56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&amp;C&amp;"Arial,Bold"&amp;12&amp;A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opLeftCell="A35" zoomScale="90" zoomScaleNormal="90" workbookViewId="0">
      <selection activeCell="I48" sqref="I48"/>
    </sheetView>
  </sheetViews>
  <sheetFormatPr defaultColWidth="9.140625" defaultRowHeight="15"/>
  <cols>
    <col min="1" max="1" width="6" style="1" customWidth="1"/>
    <col min="2" max="2" width="38" style="1" customWidth="1"/>
    <col min="3" max="3" width="6" style="27" customWidth="1"/>
    <col min="4" max="4" width="15.5703125" style="1" bestFit="1" customWidth="1"/>
    <col min="5" max="5" width="14.28515625" style="1" customWidth="1"/>
    <col min="6" max="6" width="14.7109375" style="1" customWidth="1"/>
    <col min="7" max="7" width="15" style="1" customWidth="1"/>
    <col min="8" max="8" width="12.140625" style="1" customWidth="1"/>
    <col min="9" max="10" width="9.140625" style="1"/>
    <col min="11" max="11" width="10.28515625" style="1" customWidth="1"/>
    <col min="12" max="16384" width="9.140625" style="1"/>
  </cols>
  <sheetData>
    <row r="1" spans="1:8" ht="15.75">
      <c r="A1" s="5" t="s">
        <v>256</v>
      </c>
      <c r="B1" s="5"/>
      <c r="H1" s="2" t="s">
        <v>16</v>
      </c>
    </row>
    <row r="2" spans="1:8">
      <c r="F2" s="1" t="s">
        <v>4</v>
      </c>
      <c r="G2" s="1" t="s">
        <v>4</v>
      </c>
    </row>
    <row r="3" spans="1:8">
      <c r="H3" s="8"/>
    </row>
    <row r="4" spans="1:8" ht="15.75">
      <c r="A4" s="178" t="s">
        <v>265</v>
      </c>
      <c r="B4" s="218"/>
      <c r="C4" s="182"/>
      <c r="D4" s="194" t="s">
        <v>18</v>
      </c>
      <c r="E4" s="180" t="s">
        <v>18</v>
      </c>
      <c r="F4" s="181" t="s">
        <v>20</v>
      </c>
      <c r="G4" s="180" t="s">
        <v>0</v>
      </c>
      <c r="H4" s="280"/>
    </row>
    <row r="5" spans="1:8" ht="15.75">
      <c r="A5" s="195"/>
      <c r="B5" s="217"/>
      <c r="C5" s="196"/>
      <c r="D5" s="197" t="s">
        <v>6</v>
      </c>
      <c r="E5" s="185" t="s">
        <v>19</v>
      </c>
      <c r="F5" s="185"/>
      <c r="G5" s="185"/>
      <c r="H5" s="280"/>
    </row>
    <row r="6" spans="1:8" ht="15.75">
      <c r="A6" s="195"/>
      <c r="B6" s="217"/>
      <c r="C6" s="196"/>
      <c r="D6" s="197"/>
      <c r="E6" s="185"/>
      <c r="F6" s="185"/>
      <c r="G6" s="185"/>
      <c r="H6" s="280"/>
    </row>
    <row r="7" spans="1:8" ht="15.75">
      <c r="A7" s="198" t="s">
        <v>299</v>
      </c>
      <c r="B7" s="219"/>
      <c r="C7" s="199"/>
      <c r="D7" s="200" t="s">
        <v>5</v>
      </c>
      <c r="E7" s="188" t="s">
        <v>5</v>
      </c>
      <c r="F7" s="185" t="s">
        <v>5</v>
      </c>
      <c r="G7" s="185" t="s">
        <v>5</v>
      </c>
      <c r="H7" s="280"/>
    </row>
    <row r="8" spans="1:8" ht="15.75">
      <c r="A8" s="191"/>
      <c r="B8" s="208"/>
      <c r="C8" s="24"/>
      <c r="D8" s="17"/>
      <c r="E8" s="15"/>
      <c r="F8" s="25"/>
      <c r="G8" s="25"/>
      <c r="H8" s="11"/>
    </row>
    <row r="9" spans="1:8" ht="15.75">
      <c r="A9" s="13" t="s">
        <v>2</v>
      </c>
      <c r="B9" s="8"/>
      <c r="C9" s="12"/>
      <c r="D9" s="13">
        <f>totals!B12</f>
        <v>18841900</v>
      </c>
      <c r="E9" s="13">
        <f>totals!C12</f>
        <v>-10001300</v>
      </c>
      <c r="F9" s="13">
        <f>totals!D12</f>
        <v>-2136900</v>
      </c>
      <c r="G9" s="19">
        <f>SUM(D9:F9)</f>
        <v>6703700</v>
      </c>
      <c r="H9" s="10"/>
    </row>
    <row r="10" spans="1:8" ht="15.75">
      <c r="A10" s="13"/>
      <c r="B10" s="8"/>
      <c r="C10" s="12"/>
      <c r="D10" s="13"/>
      <c r="E10" s="13"/>
      <c r="F10" s="13"/>
      <c r="G10" s="19"/>
      <c r="H10" s="10"/>
    </row>
    <row r="11" spans="1:8" ht="15.75">
      <c r="A11" s="13" t="s">
        <v>259</v>
      </c>
      <c r="B11" s="8"/>
      <c r="C11" s="12"/>
      <c r="D11" s="13">
        <f>totals!F12</f>
        <v>10122920</v>
      </c>
      <c r="E11" s="13">
        <f>totals!G12</f>
        <v>-5192020</v>
      </c>
      <c r="F11" s="13">
        <f>totals!H12</f>
        <v>-1068896</v>
      </c>
      <c r="G11" s="19">
        <f>SUM(D11:F11)</f>
        <v>3862004</v>
      </c>
      <c r="H11" s="10"/>
    </row>
    <row r="12" spans="1:8" ht="15.75">
      <c r="A12" s="13" t="s">
        <v>29</v>
      </c>
      <c r="B12" s="8"/>
      <c r="C12" s="12"/>
      <c r="D12" s="13">
        <f>totals!B26</f>
        <v>10208406.050000003</v>
      </c>
      <c r="E12" s="13">
        <f>totals!C26</f>
        <v>-5746821.5500000026</v>
      </c>
      <c r="F12" s="13">
        <f>totals!D26</f>
        <v>-1068877.3600000001</v>
      </c>
      <c r="G12" s="19">
        <f>SUM(D12:F12)</f>
        <v>3392707.1399999997</v>
      </c>
      <c r="H12" s="10"/>
    </row>
    <row r="13" spans="1:8" ht="7.5" customHeight="1">
      <c r="A13" s="192"/>
      <c r="B13" s="174"/>
      <c r="C13" s="209"/>
      <c r="D13" s="192"/>
      <c r="E13" s="26"/>
      <c r="F13" s="26"/>
      <c r="G13" s="26"/>
      <c r="H13" s="10"/>
    </row>
    <row r="14" spans="1:8" ht="16.5" thickBot="1">
      <c r="A14" s="20" t="s">
        <v>7</v>
      </c>
      <c r="B14" s="9"/>
      <c r="C14" s="193"/>
      <c r="D14" s="20">
        <f>D12-D11</f>
        <v>85486.050000002608</v>
      </c>
      <c r="E14" s="21">
        <f>E12-E11</f>
        <v>-554801.55000000261</v>
      </c>
      <c r="F14" s="21">
        <f>F12-F11</f>
        <v>18.639999999897555</v>
      </c>
      <c r="G14" s="213">
        <f>G12-G11</f>
        <v>-469296.86000000034</v>
      </c>
      <c r="H14" s="10"/>
    </row>
    <row r="15" spans="1:8" ht="16.5" thickTop="1">
      <c r="A15" s="5"/>
      <c r="B15" s="5"/>
      <c r="C15" s="3"/>
      <c r="D15" s="5"/>
      <c r="E15" s="5"/>
      <c r="F15" s="5"/>
      <c r="G15" s="5"/>
      <c r="H15" s="8"/>
    </row>
    <row r="16" spans="1:8" ht="15.75">
      <c r="A16" s="5"/>
      <c r="B16" s="5"/>
      <c r="C16" s="3"/>
      <c r="D16" s="5"/>
      <c r="E16" s="5"/>
      <c r="F16" s="5"/>
      <c r="G16" s="5"/>
    </row>
    <row r="17" spans="1:10" ht="15.75">
      <c r="D17" s="3"/>
      <c r="E17" s="3"/>
      <c r="F17" s="3"/>
      <c r="G17" s="3"/>
      <c r="H17" s="8"/>
      <c r="I17" s="8"/>
      <c r="J17" s="8"/>
    </row>
    <row r="18" spans="1:10" ht="15.75">
      <c r="A18" s="178" t="s">
        <v>258</v>
      </c>
      <c r="B18" s="218"/>
      <c r="C18" s="179"/>
      <c r="D18" s="180" t="s">
        <v>6</v>
      </c>
      <c r="E18" s="181" t="s">
        <v>19</v>
      </c>
      <c r="F18" s="180" t="s">
        <v>26</v>
      </c>
      <c r="H18" s="280"/>
      <c r="I18" s="280"/>
      <c r="J18" s="8"/>
    </row>
    <row r="19" spans="1:10" ht="15.75">
      <c r="A19" s="183"/>
      <c r="B19" s="220"/>
      <c r="C19" s="184"/>
      <c r="D19" s="185" t="s">
        <v>7</v>
      </c>
      <c r="E19" s="186" t="s">
        <v>7</v>
      </c>
      <c r="F19" s="185" t="s">
        <v>7</v>
      </c>
      <c r="H19" s="280"/>
      <c r="I19" s="280"/>
      <c r="J19" s="8"/>
    </row>
    <row r="20" spans="1:10" ht="15.75">
      <c r="A20" s="183"/>
      <c r="B20" s="220"/>
      <c r="C20" s="184"/>
      <c r="D20" s="185"/>
      <c r="E20" s="186"/>
      <c r="F20" s="185"/>
      <c r="H20" s="280"/>
      <c r="I20" s="280"/>
      <c r="J20" s="8"/>
    </row>
    <row r="21" spans="1:10" ht="15" customHeight="1">
      <c r="A21" s="356" t="s">
        <v>10</v>
      </c>
      <c r="B21" s="357"/>
      <c r="C21" s="187" t="s">
        <v>1</v>
      </c>
      <c r="D21" s="188" t="s">
        <v>5</v>
      </c>
      <c r="E21" s="189" t="s">
        <v>5</v>
      </c>
      <c r="F21" s="188" t="s">
        <v>5</v>
      </c>
      <c r="H21" s="280"/>
      <c r="I21" s="280"/>
      <c r="J21" s="8"/>
    </row>
    <row r="22" spans="1:10" ht="15" customHeight="1">
      <c r="A22" s="202"/>
      <c r="B22" s="222"/>
      <c r="C22" s="210"/>
      <c r="D22" s="22"/>
      <c r="E22" s="172"/>
      <c r="F22" s="24"/>
      <c r="H22" s="4"/>
      <c r="I22" s="4"/>
      <c r="J22" s="8"/>
    </row>
    <row r="23" spans="1:10" ht="15" customHeight="1">
      <c r="A23" s="203" t="s">
        <v>279</v>
      </c>
      <c r="B23" s="204"/>
      <c r="C23" s="12">
        <v>1</v>
      </c>
      <c r="D23" s="16">
        <f>51283+2939-26986+19663</f>
        <v>46899</v>
      </c>
      <c r="E23" s="190">
        <f>270+15340+740</f>
        <v>16350</v>
      </c>
      <c r="F23" s="14">
        <f>SUM(D23:E23)</f>
        <v>63249</v>
      </c>
      <c r="H23" s="8"/>
      <c r="I23" s="8"/>
      <c r="J23" s="8"/>
    </row>
    <row r="24" spans="1:10" ht="15" customHeight="1">
      <c r="A24" s="203" t="s">
        <v>280</v>
      </c>
      <c r="B24" s="204"/>
      <c r="C24" s="12">
        <v>2</v>
      </c>
      <c r="D24" s="16">
        <v>-24154</v>
      </c>
      <c r="E24" s="190">
        <v>0</v>
      </c>
      <c r="F24" s="14">
        <f t="shared" ref="F24:F33" si="0">SUM(D24:E24)</f>
        <v>-24154</v>
      </c>
      <c r="H24" s="8"/>
      <c r="I24" s="8"/>
      <c r="J24" s="8"/>
    </row>
    <row r="25" spans="1:10" ht="15" customHeight="1">
      <c r="A25" s="203" t="s">
        <v>232</v>
      </c>
      <c r="B25" s="204"/>
      <c r="C25" s="12">
        <v>3</v>
      </c>
      <c r="D25" s="16">
        <v>12705</v>
      </c>
      <c r="E25" s="190">
        <v>-45422</v>
      </c>
      <c r="F25" s="14">
        <f t="shared" si="0"/>
        <v>-32717</v>
      </c>
      <c r="H25" s="8"/>
      <c r="I25" s="8"/>
      <c r="J25" s="8"/>
    </row>
    <row r="26" spans="1:10" ht="15" customHeight="1">
      <c r="A26" s="203" t="s">
        <v>281</v>
      </c>
      <c r="B26" s="204"/>
      <c r="C26" s="12">
        <v>4</v>
      </c>
      <c r="D26" s="16">
        <v>52391</v>
      </c>
      <c r="E26" s="190">
        <v>-50666</v>
      </c>
      <c r="F26" s="14">
        <f t="shared" si="0"/>
        <v>1725</v>
      </c>
      <c r="H26" s="8"/>
      <c r="I26" s="8"/>
      <c r="J26" s="8"/>
    </row>
    <row r="27" spans="1:10" ht="15" customHeight="1">
      <c r="A27" s="203" t="s">
        <v>25</v>
      </c>
      <c r="B27" s="204"/>
      <c r="C27" s="12">
        <v>5</v>
      </c>
      <c r="D27" s="16">
        <v>-81177</v>
      </c>
      <c r="E27" s="190">
        <f>-57773+1</f>
        <v>-57772</v>
      </c>
      <c r="F27" s="14">
        <f t="shared" si="0"/>
        <v>-138949</v>
      </c>
      <c r="H27" s="8"/>
      <c r="I27" s="8"/>
      <c r="J27" s="8"/>
    </row>
    <row r="28" spans="1:10" ht="15" customHeight="1">
      <c r="A28" s="203" t="s">
        <v>317</v>
      </c>
      <c r="B28" s="204"/>
      <c r="C28" s="12">
        <v>6</v>
      </c>
      <c r="D28" s="16">
        <v>22854</v>
      </c>
      <c r="E28" s="190">
        <v>1152</v>
      </c>
      <c r="F28" s="14">
        <f t="shared" si="0"/>
        <v>24006</v>
      </c>
      <c r="H28" s="8"/>
      <c r="I28" s="8"/>
      <c r="J28" s="8"/>
    </row>
    <row r="29" spans="1:10" ht="15" customHeight="1">
      <c r="A29" s="203" t="s">
        <v>286</v>
      </c>
      <c r="B29" s="204"/>
      <c r="C29" s="12">
        <v>7</v>
      </c>
      <c r="D29" s="16">
        <f>-8671+3945+27638+239754+3257</f>
        <v>265923</v>
      </c>
      <c r="E29" s="190">
        <f>3-12000-3289-83413-132979-6</f>
        <v>-231684</v>
      </c>
      <c r="F29" s="14">
        <f t="shared" si="0"/>
        <v>34239</v>
      </c>
      <c r="H29" s="8"/>
      <c r="I29" s="8"/>
      <c r="J29" s="8"/>
    </row>
    <row r="30" spans="1:10" ht="15" customHeight="1">
      <c r="A30" s="203" t="s">
        <v>282</v>
      </c>
      <c r="B30" s="204"/>
      <c r="C30" s="12">
        <v>8</v>
      </c>
      <c r="D30" s="16">
        <f>107086-83-7917+39-7446-47581-21107+7442+1215</f>
        <v>31648</v>
      </c>
      <c r="E30" s="190">
        <v>-41524</v>
      </c>
      <c r="F30" s="14">
        <f t="shared" si="0"/>
        <v>-9876</v>
      </c>
      <c r="H30" s="8"/>
      <c r="I30" s="8"/>
      <c r="J30" s="8"/>
    </row>
    <row r="31" spans="1:10" ht="15" customHeight="1">
      <c r="A31" s="203" t="s">
        <v>283</v>
      </c>
      <c r="B31" s="204"/>
      <c r="C31" s="12">
        <v>9</v>
      </c>
      <c r="D31" s="16">
        <v>-45530</v>
      </c>
      <c r="E31" s="190">
        <v>0</v>
      </c>
      <c r="F31" s="14">
        <f t="shared" si="0"/>
        <v>-45530</v>
      </c>
      <c r="H31" s="8"/>
      <c r="I31" s="8"/>
      <c r="J31" s="8"/>
    </row>
    <row r="32" spans="1:10" ht="15" customHeight="1">
      <c r="A32" s="203" t="s">
        <v>356</v>
      </c>
      <c r="B32" s="204"/>
      <c r="C32" s="12">
        <v>10</v>
      </c>
      <c r="D32" s="16">
        <f>-21857+3800</f>
        <v>-18057</v>
      </c>
      <c r="E32" s="190">
        <v>0</v>
      </c>
      <c r="F32" s="14">
        <f t="shared" si="0"/>
        <v>-18057</v>
      </c>
      <c r="H32" s="8"/>
      <c r="I32" s="8"/>
      <c r="J32" s="8"/>
    </row>
    <row r="33" spans="1:10" ht="15" customHeight="1">
      <c r="A33" s="203" t="s">
        <v>284</v>
      </c>
      <c r="B33" s="204"/>
      <c r="C33" s="12">
        <v>11</v>
      </c>
      <c r="D33" s="16">
        <v>-89956</v>
      </c>
      <c r="E33" s="190">
        <f>-155143+2</f>
        <v>-155141</v>
      </c>
      <c r="F33" s="14">
        <f t="shared" si="0"/>
        <v>-245097</v>
      </c>
      <c r="H33" s="8"/>
      <c r="I33" s="8"/>
      <c r="J33" s="8"/>
    </row>
    <row r="34" spans="1:10" ht="15" customHeight="1">
      <c r="A34" s="203"/>
      <c r="B34" s="204"/>
      <c r="C34" s="12"/>
      <c r="D34" s="16"/>
      <c r="E34" s="190"/>
      <c r="F34" s="14"/>
      <c r="H34" s="8"/>
      <c r="I34" s="8"/>
      <c r="J34" s="8"/>
    </row>
    <row r="35" spans="1:10" ht="15" customHeight="1">
      <c r="A35" s="203" t="s">
        <v>267</v>
      </c>
      <c r="B35" s="204"/>
      <c r="C35" s="176"/>
      <c r="D35" s="18">
        <f>D14-SUM(D23:D34)</f>
        <v>-88059.949999997392</v>
      </c>
      <c r="E35" s="18">
        <f>E14+F14-SUM(E23:E34)</f>
        <v>9924.0899999972899</v>
      </c>
      <c r="F35" s="206">
        <f>SUM(D35:E35)</f>
        <v>-78135.860000000102</v>
      </c>
      <c r="H35" s="8"/>
      <c r="I35" s="8"/>
      <c r="J35" s="8"/>
    </row>
    <row r="36" spans="1:10" ht="6.75" customHeight="1">
      <c r="A36" s="230"/>
      <c r="B36" s="205"/>
      <c r="C36" s="12"/>
      <c r="D36" s="16"/>
      <c r="E36" s="8"/>
      <c r="F36" s="14"/>
      <c r="H36" s="8"/>
      <c r="I36" s="8"/>
      <c r="J36" s="8"/>
    </row>
    <row r="37" spans="1:10" ht="16.5" thickBot="1">
      <c r="A37" s="229" t="s">
        <v>3</v>
      </c>
      <c r="B37" s="229"/>
      <c r="C37" s="212"/>
      <c r="D37" s="21">
        <f>SUM(D23:D35)</f>
        <v>85486.050000002608</v>
      </c>
      <c r="E37" s="21">
        <f>SUM(E23:E35)</f>
        <v>-554782.91000000271</v>
      </c>
      <c r="F37" s="213">
        <f>SUM(F23:F35)</f>
        <v>-469296.8600000001</v>
      </c>
      <c r="H37" s="10"/>
      <c r="I37" s="10"/>
      <c r="J37" s="8"/>
    </row>
    <row r="38" spans="1:10" ht="16.5" thickTop="1">
      <c r="A38" s="10"/>
      <c r="B38" s="10"/>
      <c r="C38" s="4"/>
      <c r="D38" s="10"/>
      <c r="E38" s="10"/>
      <c r="F38" s="10"/>
      <c r="G38" s="10"/>
      <c r="H38" s="10"/>
      <c r="I38" s="8"/>
      <c r="J38" s="8"/>
    </row>
    <row r="39" spans="1:10" ht="15.75">
      <c r="A39" s="10"/>
      <c r="B39" s="10"/>
      <c r="C39" s="4"/>
      <c r="D39" s="10"/>
      <c r="E39" s="10"/>
      <c r="F39" s="10"/>
      <c r="G39" s="10"/>
      <c r="H39" s="10"/>
    </row>
    <row r="40" spans="1:10" ht="15.75">
      <c r="A40" s="5"/>
      <c r="B40" s="5"/>
      <c r="D40" s="10"/>
      <c r="F40" s="10"/>
      <c r="G40" s="10"/>
      <c r="H40" s="10"/>
    </row>
    <row r="41" spans="1:10" ht="31.5" customHeight="1">
      <c r="A41" s="175" t="s">
        <v>1</v>
      </c>
      <c r="B41" s="221" t="s">
        <v>243</v>
      </c>
      <c r="C41" s="214"/>
      <c r="D41" s="215"/>
      <c r="E41" s="215"/>
      <c r="F41" s="215"/>
      <c r="G41" s="215"/>
      <c r="H41" s="216"/>
    </row>
    <row r="42" spans="1:10" ht="9" customHeight="1">
      <c r="A42" s="228"/>
      <c r="B42" s="224"/>
      <c r="C42" s="225"/>
      <c r="D42" s="226"/>
      <c r="E42" s="226"/>
      <c r="F42" s="226"/>
      <c r="G42" s="226"/>
      <c r="H42" s="227"/>
    </row>
    <row r="43" spans="1:10">
      <c r="A43" s="207" t="s">
        <v>233</v>
      </c>
      <c r="B43" s="203" t="s">
        <v>288</v>
      </c>
      <c r="C43" s="4"/>
      <c r="D43" s="8"/>
      <c r="E43" s="8"/>
      <c r="F43" s="8"/>
      <c r="G43" s="8"/>
      <c r="H43" s="190"/>
    </row>
    <row r="44" spans="1:10">
      <c r="A44" s="207"/>
      <c r="B44" s="203" t="s">
        <v>348</v>
      </c>
      <c r="C44" s="4"/>
      <c r="D44" s="8"/>
      <c r="E44" s="8"/>
      <c r="F44" s="8"/>
      <c r="G44" s="8"/>
      <c r="H44" s="190"/>
    </row>
    <row r="45" spans="1:10">
      <c r="A45" s="207" t="s">
        <v>234</v>
      </c>
      <c r="B45" s="203" t="s">
        <v>289</v>
      </c>
      <c r="C45" s="4"/>
      <c r="D45" s="8"/>
      <c r="E45" s="8"/>
      <c r="F45" s="8"/>
      <c r="G45" s="8"/>
      <c r="H45" s="190"/>
    </row>
    <row r="46" spans="1:10">
      <c r="A46" s="207" t="s">
        <v>235</v>
      </c>
      <c r="B46" s="203" t="s">
        <v>287</v>
      </c>
      <c r="C46" s="4"/>
      <c r="D46" s="8"/>
      <c r="E46" s="8"/>
      <c r="F46" s="8"/>
      <c r="G46" s="8"/>
      <c r="H46" s="190"/>
    </row>
    <row r="47" spans="1:10">
      <c r="A47" s="207" t="s">
        <v>236</v>
      </c>
      <c r="B47" s="16" t="s">
        <v>285</v>
      </c>
      <c r="C47" s="4"/>
      <c r="D47" s="8"/>
      <c r="E47" s="8"/>
      <c r="F47" s="8"/>
      <c r="G47" s="8"/>
      <c r="H47" s="190"/>
    </row>
    <row r="48" spans="1:10">
      <c r="A48" s="207" t="s">
        <v>237</v>
      </c>
      <c r="B48" s="203" t="s">
        <v>349</v>
      </c>
      <c r="C48" s="4"/>
      <c r="D48" s="8"/>
      <c r="E48" s="8"/>
      <c r="F48" s="8"/>
      <c r="G48" s="8"/>
      <c r="H48" s="190"/>
    </row>
    <row r="49" spans="1:8">
      <c r="A49" s="207"/>
      <c r="B49" s="203" t="s">
        <v>351</v>
      </c>
      <c r="C49" s="4"/>
      <c r="D49" s="8"/>
      <c r="E49" s="8"/>
      <c r="F49" s="8"/>
      <c r="G49" s="8"/>
      <c r="H49" s="190"/>
    </row>
    <row r="50" spans="1:8">
      <c r="A50" s="207"/>
      <c r="B50" s="203" t="s">
        <v>350</v>
      </c>
      <c r="C50" s="4"/>
      <c r="D50" s="8"/>
      <c r="E50" s="8"/>
      <c r="F50" s="8"/>
      <c r="G50" s="8"/>
      <c r="H50" s="190"/>
    </row>
    <row r="51" spans="1:8">
      <c r="A51" s="207" t="s">
        <v>238</v>
      </c>
      <c r="B51" s="203" t="s">
        <v>354</v>
      </c>
      <c r="C51" s="4"/>
      <c r="D51" s="8"/>
      <c r="E51" s="8"/>
      <c r="F51" s="8"/>
      <c r="G51" s="8"/>
      <c r="H51" s="190"/>
    </row>
    <row r="52" spans="1:8">
      <c r="A52" s="207" t="s">
        <v>239</v>
      </c>
      <c r="B52" s="16" t="s">
        <v>352</v>
      </c>
      <c r="C52" s="4"/>
      <c r="D52" s="8"/>
      <c r="E52" s="8"/>
      <c r="F52" s="8"/>
      <c r="G52" s="8"/>
      <c r="H52" s="190"/>
    </row>
    <row r="53" spans="1:8">
      <c r="A53" s="207"/>
      <c r="B53" s="13" t="s">
        <v>353</v>
      </c>
      <c r="C53" s="4"/>
      <c r="D53" s="8"/>
      <c r="E53" s="8"/>
      <c r="F53" s="8"/>
      <c r="G53" s="8"/>
      <c r="H53" s="190"/>
    </row>
    <row r="54" spans="1:8">
      <c r="A54" s="207" t="s">
        <v>240</v>
      </c>
      <c r="B54" s="203" t="s">
        <v>373</v>
      </c>
      <c r="C54" s="4"/>
      <c r="D54" s="8"/>
      <c r="E54" s="8"/>
      <c r="F54" s="8"/>
      <c r="G54" s="8"/>
      <c r="H54" s="190"/>
    </row>
    <row r="55" spans="1:8">
      <c r="A55" s="207" t="s">
        <v>241</v>
      </c>
      <c r="B55" s="203" t="s">
        <v>355</v>
      </c>
      <c r="C55" s="4"/>
      <c r="D55" s="8"/>
      <c r="E55" s="8"/>
      <c r="F55" s="8"/>
      <c r="G55" s="8"/>
      <c r="H55" s="190"/>
    </row>
    <row r="56" spans="1:8">
      <c r="A56" s="207" t="s">
        <v>242</v>
      </c>
      <c r="B56" s="203" t="s">
        <v>358</v>
      </c>
      <c r="C56" s="4"/>
      <c r="D56" s="8"/>
      <c r="E56" s="8"/>
      <c r="F56" s="8"/>
      <c r="G56" s="8"/>
      <c r="H56" s="190"/>
    </row>
    <row r="57" spans="1:8">
      <c r="A57" s="207" t="s">
        <v>357</v>
      </c>
      <c r="B57" s="203" t="s">
        <v>361</v>
      </c>
      <c r="C57" s="4"/>
      <c r="D57" s="8"/>
      <c r="E57" s="8"/>
      <c r="F57" s="8"/>
      <c r="G57" s="8"/>
      <c r="H57" s="190"/>
    </row>
    <row r="58" spans="1:8">
      <c r="A58" s="207"/>
      <c r="B58" s="203" t="s">
        <v>360</v>
      </c>
      <c r="C58" s="4"/>
      <c r="D58" s="8"/>
      <c r="E58" s="8"/>
      <c r="F58" s="8"/>
      <c r="G58" s="8"/>
      <c r="H58" s="190"/>
    </row>
    <row r="59" spans="1:8">
      <c r="A59" s="207"/>
      <c r="B59" s="203" t="s">
        <v>359</v>
      </c>
      <c r="C59" s="4"/>
      <c r="D59" s="8"/>
      <c r="E59" s="8"/>
      <c r="F59" s="8"/>
      <c r="G59" s="8"/>
      <c r="H59" s="190"/>
    </row>
    <row r="60" spans="1:8" ht="15.75">
      <c r="A60" s="177"/>
      <c r="B60" s="223"/>
      <c r="C60" s="201"/>
      <c r="D60" s="6"/>
      <c r="E60" s="6"/>
      <c r="F60" s="6"/>
      <c r="G60" s="6"/>
      <c r="H60" s="173"/>
    </row>
    <row r="77" spans="1:10" s="27" customFormat="1">
      <c r="A77" s="1"/>
      <c r="B77" s="266"/>
      <c r="D77" s="1"/>
      <c r="E77" s="1"/>
      <c r="F77" s="1"/>
      <c r="G77" s="1"/>
      <c r="H77" s="1"/>
      <c r="I77" s="1"/>
      <c r="J77" s="1"/>
    </row>
  </sheetData>
  <mergeCells count="1">
    <mergeCell ref="A21:B21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Footer>&amp;C&amp;"Arial,Bold"&amp;12&amp;A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opLeftCell="A17" zoomScale="75" zoomScaleNormal="75" workbookViewId="0">
      <selection activeCell="B10" sqref="B10:H10"/>
    </sheetView>
  </sheetViews>
  <sheetFormatPr defaultColWidth="9.140625" defaultRowHeight="15"/>
  <cols>
    <col min="1" max="1" width="3.85546875" style="313" bestFit="1" customWidth="1"/>
    <col min="2" max="2" width="63.7109375" style="313" customWidth="1"/>
    <col min="3" max="3" width="16" style="336" bestFit="1" customWidth="1"/>
    <col min="4" max="4" width="11.42578125" style="313" bestFit="1" customWidth="1"/>
    <col min="5" max="5" width="11.42578125" style="277" bestFit="1" customWidth="1"/>
    <col min="6" max="6" width="11.5703125" style="277" customWidth="1"/>
    <col min="7" max="7" width="12.28515625" style="277" bestFit="1" customWidth="1"/>
    <col min="8" max="8" width="11.28515625" style="277" customWidth="1"/>
    <col min="9" max="9" width="1.42578125" style="313" customWidth="1"/>
    <col min="10" max="10" width="80.7109375" style="313" customWidth="1"/>
    <col min="11" max="254" width="9.140625" style="313"/>
    <col min="255" max="255" width="3.85546875" style="313" bestFit="1" customWidth="1"/>
    <col min="256" max="256" width="68.7109375" style="313" bestFit="1" customWidth="1"/>
    <col min="257" max="257" width="16" style="313" bestFit="1" customWidth="1"/>
    <col min="258" max="259" width="11.42578125" style="313" bestFit="1" customWidth="1"/>
    <col min="260" max="260" width="11.5703125" style="313" customWidth="1"/>
    <col min="261" max="261" width="11.42578125" style="313" bestFit="1" customWidth="1"/>
    <col min="262" max="262" width="12.28515625" style="313" customWidth="1"/>
    <col min="263" max="263" width="11.42578125" style="313" bestFit="1" customWidth="1"/>
    <col min="264" max="264" width="12.28515625" style="313" customWidth="1"/>
    <col min="265" max="265" width="1.42578125" style="313" customWidth="1"/>
    <col min="266" max="266" width="57.28515625" style="313" customWidth="1"/>
    <col min="267" max="510" width="9.140625" style="313"/>
    <col min="511" max="511" width="3.85546875" style="313" bestFit="1" customWidth="1"/>
    <col min="512" max="512" width="68.7109375" style="313" bestFit="1" customWidth="1"/>
    <col min="513" max="513" width="16" style="313" bestFit="1" customWidth="1"/>
    <col min="514" max="515" width="11.42578125" style="313" bestFit="1" customWidth="1"/>
    <col min="516" max="516" width="11.5703125" style="313" customWidth="1"/>
    <col min="517" max="517" width="11.42578125" style="313" bestFit="1" customWidth="1"/>
    <col min="518" max="518" width="12.28515625" style="313" customWidth="1"/>
    <col min="519" max="519" width="11.42578125" style="313" bestFit="1" customWidth="1"/>
    <col min="520" max="520" width="12.28515625" style="313" customWidth="1"/>
    <col min="521" max="521" width="1.42578125" style="313" customWidth="1"/>
    <col min="522" max="522" width="57.28515625" style="313" customWidth="1"/>
    <col min="523" max="766" width="9.140625" style="313"/>
    <col min="767" max="767" width="3.85546875" style="313" bestFit="1" customWidth="1"/>
    <col min="768" max="768" width="68.7109375" style="313" bestFit="1" customWidth="1"/>
    <col min="769" max="769" width="16" style="313" bestFit="1" customWidth="1"/>
    <col min="770" max="771" width="11.42578125" style="313" bestFit="1" customWidth="1"/>
    <col min="772" max="772" width="11.5703125" style="313" customWidth="1"/>
    <col min="773" max="773" width="11.42578125" style="313" bestFit="1" customWidth="1"/>
    <col min="774" max="774" width="12.28515625" style="313" customWidth="1"/>
    <col min="775" max="775" width="11.42578125" style="313" bestFit="1" customWidth="1"/>
    <col min="776" max="776" width="12.28515625" style="313" customWidth="1"/>
    <col min="777" max="777" width="1.42578125" style="313" customWidth="1"/>
    <col min="778" max="778" width="57.28515625" style="313" customWidth="1"/>
    <col min="779" max="1022" width="9.140625" style="313"/>
    <col min="1023" max="1023" width="3.85546875" style="313" bestFit="1" customWidth="1"/>
    <col min="1024" max="1024" width="68.7109375" style="313" bestFit="1" customWidth="1"/>
    <col min="1025" max="1025" width="16" style="313" bestFit="1" customWidth="1"/>
    <col min="1026" max="1027" width="11.42578125" style="313" bestFit="1" customWidth="1"/>
    <col min="1028" max="1028" width="11.5703125" style="313" customWidth="1"/>
    <col min="1029" max="1029" width="11.42578125" style="313" bestFit="1" customWidth="1"/>
    <col min="1030" max="1030" width="12.28515625" style="313" customWidth="1"/>
    <col min="1031" max="1031" width="11.42578125" style="313" bestFit="1" customWidth="1"/>
    <col min="1032" max="1032" width="12.28515625" style="313" customWidth="1"/>
    <col min="1033" max="1033" width="1.42578125" style="313" customWidth="1"/>
    <col min="1034" max="1034" width="57.28515625" style="313" customWidth="1"/>
    <col min="1035" max="1278" width="9.140625" style="313"/>
    <col min="1279" max="1279" width="3.85546875" style="313" bestFit="1" customWidth="1"/>
    <col min="1280" max="1280" width="68.7109375" style="313" bestFit="1" customWidth="1"/>
    <col min="1281" max="1281" width="16" style="313" bestFit="1" customWidth="1"/>
    <col min="1282" max="1283" width="11.42578125" style="313" bestFit="1" customWidth="1"/>
    <col min="1284" max="1284" width="11.5703125" style="313" customWidth="1"/>
    <col min="1285" max="1285" width="11.42578125" style="313" bestFit="1" customWidth="1"/>
    <col min="1286" max="1286" width="12.28515625" style="313" customWidth="1"/>
    <col min="1287" max="1287" width="11.42578125" style="313" bestFit="1" customWidth="1"/>
    <col min="1288" max="1288" width="12.28515625" style="313" customWidth="1"/>
    <col min="1289" max="1289" width="1.42578125" style="313" customWidth="1"/>
    <col min="1290" max="1290" width="57.28515625" style="313" customWidth="1"/>
    <col min="1291" max="1534" width="9.140625" style="313"/>
    <col min="1535" max="1535" width="3.85546875" style="313" bestFit="1" customWidth="1"/>
    <col min="1536" max="1536" width="68.7109375" style="313" bestFit="1" customWidth="1"/>
    <col min="1537" max="1537" width="16" style="313" bestFit="1" customWidth="1"/>
    <col min="1538" max="1539" width="11.42578125" style="313" bestFit="1" customWidth="1"/>
    <col min="1540" max="1540" width="11.5703125" style="313" customWidth="1"/>
    <col min="1541" max="1541" width="11.42578125" style="313" bestFit="1" customWidth="1"/>
    <col min="1542" max="1542" width="12.28515625" style="313" customWidth="1"/>
    <col min="1543" max="1543" width="11.42578125" style="313" bestFit="1" customWidth="1"/>
    <col min="1544" max="1544" width="12.28515625" style="313" customWidth="1"/>
    <col min="1545" max="1545" width="1.42578125" style="313" customWidth="1"/>
    <col min="1546" max="1546" width="57.28515625" style="313" customWidth="1"/>
    <col min="1547" max="1790" width="9.140625" style="313"/>
    <col min="1791" max="1791" width="3.85546875" style="313" bestFit="1" customWidth="1"/>
    <col min="1792" max="1792" width="68.7109375" style="313" bestFit="1" customWidth="1"/>
    <col min="1793" max="1793" width="16" style="313" bestFit="1" customWidth="1"/>
    <col min="1794" max="1795" width="11.42578125" style="313" bestFit="1" customWidth="1"/>
    <col min="1796" max="1796" width="11.5703125" style="313" customWidth="1"/>
    <col min="1797" max="1797" width="11.42578125" style="313" bestFit="1" customWidth="1"/>
    <col min="1798" max="1798" width="12.28515625" style="313" customWidth="1"/>
    <col min="1799" max="1799" width="11.42578125" style="313" bestFit="1" customWidth="1"/>
    <col min="1800" max="1800" width="12.28515625" style="313" customWidth="1"/>
    <col min="1801" max="1801" width="1.42578125" style="313" customWidth="1"/>
    <col min="1802" max="1802" width="57.28515625" style="313" customWidth="1"/>
    <col min="1803" max="2046" width="9.140625" style="313"/>
    <col min="2047" max="2047" width="3.85546875" style="313" bestFit="1" customWidth="1"/>
    <col min="2048" max="2048" width="68.7109375" style="313" bestFit="1" customWidth="1"/>
    <col min="2049" max="2049" width="16" style="313" bestFit="1" customWidth="1"/>
    <col min="2050" max="2051" width="11.42578125" style="313" bestFit="1" customWidth="1"/>
    <col min="2052" max="2052" width="11.5703125" style="313" customWidth="1"/>
    <col min="2053" max="2053" width="11.42578125" style="313" bestFit="1" customWidth="1"/>
    <col min="2054" max="2054" width="12.28515625" style="313" customWidth="1"/>
    <col min="2055" max="2055" width="11.42578125" style="313" bestFit="1" customWidth="1"/>
    <col min="2056" max="2056" width="12.28515625" style="313" customWidth="1"/>
    <col min="2057" max="2057" width="1.42578125" style="313" customWidth="1"/>
    <col min="2058" max="2058" width="57.28515625" style="313" customWidth="1"/>
    <col min="2059" max="2302" width="9.140625" style="313"/>
    <col min="2303" max="2303" width="3.85546875" style="313" bestFit="1" customWidth="1"/>
    <col min="2304" max="2304" width="68.7109375" style="313" bestFit="1" customWidth="1"/>
    <col min="2305" max="2305" width="16" style="313" bestFit="1" customWidth="1"/>
    <col min="2306" max="2307" width="11.42578125" style="313" bestFit="1" customWidth="1"/>
    <col min="2308" max="2308" width="11.5703125" style="313" customWidth="1"/>
    <col min="2309" max="2309" width="11.42578125" style="313" bestFit="1" customWidth="1"/>
    <col min="2310" max="2310" width="12.28515625" style="313" customWidth="1"/>
    <col min="2311" max="2311" width="11.42578125" style="313" bestFit="1" customWidth="1"/>
    <col min="2312" max="2312" width="12.28515625" style="313" customWidth="1"/>
    <col min="2313" max="2313" width="1.42578125" style="313" customWidth="1"/>
    <col min="2314" max="2314" width="57.28515625" style="313" customWidth="1"/>
    <col min="2315" max="2558" width="9.140625" style="313"/>
    <col min="2559" max="2559" width="3.85546875" style="313" bestFit="1" customWidth="1"/>
    <col min="2560" max="2560" width="68.7109375" style="313" bestFit="1" customWidth="1"/>
    <col min="2561" max="2561" width="16" style="313" bestFit="1" customWidth="1"/>
    <col min="2562" max="2563" width="11.42578125" style="313" bestFit="1" customWidth="1"/>
    <col min="2564" max="2564" width="11.5703125" style="313" customWidth="1"/>
    <col min="2565" max="2565" width="11.42578125" style="313" bestFit="1" customWidth="1"/>
    <col min="2566" max="2566" width="12.28515625" style="313" customWidth="1"/>
    <col min="2567" max="2567" width="11.42578125" style="313" bestFit="1" customWidth="1"/>
    <col min="2568" max="2568" width="12.28515625" style="313" customWidth="1"/>
    <col min="2569" max="2569" width="1.42578125" style="313" customWidth="1"/>
    <col min="2570" max="2570" width="57.28515625" style="313" customWidth="1"/>
    <col min="2571" max="2814" width="9.140625" style="313"/>
    <col min="2815" max="2815" width="3.85546875" style="313" bestFit="1" customWidth="1"/>
    <col min="2816" max="2816" width="68.7109375" style="313" bestFit="1" customWidth="1"/>
    <col min="2817" max="2817" width="16" style="313" bestFit="1" customWidth="1"/>
    <col min="2818" max="2819" width="11.42578125" style="313" bestFit="1" customWidth="1"/>
    <col min="2820" max="2820" width="11.5703125" style="313" customWidth="1"/>
    <col min="2821" max="2821" width="11.42578125" style="313" bestFit="1" customWidth="1"/>
    <col min="2822" max="2822" width="12.28515625" style="313" customWidth="1"/>
    <col min="2823" max="2823" width="11.42578125" style="313" bestFit="1" customWidth="1"/>
    <col min="2824" max="2824" width="12.28515625" style="313" customWidth="1"/>
    <col min="2825" max="2825" width="1.42578125" style="313" customWidth="1"/>
    <col min="2826" max="2826" width="57.28515625" style="313" customWidth="1"/>
    <col min="2827" max="3070" width="9.140625" style="313"/>
    <col min="3071" max="3071" width="3.85546875" style="313" bestFit="1" customWidth="1"/>
    <col min="3072" max="3072" width="68.7109375" style="313" bestFit="1" customWidth="1"/>
    <col min="3073" max="3073" width="16" style="313" bestFit="1" customWidth="1"/>
    <col min="3074" max="3075" width="11.42578125" style="313" bestFit="1" customWidth="1"/>
    <col min="3076" max="3076" width="11.5703125" style="313" customWidth="1"/>
    <col min="3077" max="3077" width="11.42578125" style="313" bestFit="1" customWidth="1"/>
    <col min="3078" max="3078" width="12.28515625" style="313" customWidth="1"/>
    <col min="3079" max="3079" width="11.42578125" style="313" bestFit="1" customWidth="1"/>
    <col min="3080" max="3080" width="12.28515625" style="313" customWidth="1"/>
    <col min="3081" max="3081" width="1.42578125" style="313" customWidth="1"/>
    <col min="3082" max="3082" width="57.28515625" style="313" customWidth="1"/>
    <col min="3083" max="3326" width="9.140625" style="313"/>
    <col min="3327" max="3327" width="3.85546875" style="313" bestFit="1" customWidth="1"/>
    <col min="3328" max="3328" width="68.7109375" style="313" bestFit="1" customWidth="1"/>
    <col min="3329" max="3329" width="16" style="313" bestFit="1" customWidth="1"/>
    <col min="3330" max="3331" width="11.42578125" style="313" bestFit="1" customWidth="1"/>
    <col min="3332" max="3332" width="11.5703125" style="313" customWidth="1"/>
    <col min="3333" max="3333" width="11.42578125" style="313" bestFit="1" customWidth="1"/>
    <col min="3334" max="3334" width="12.28515625" style="313" customWidth="1"/>
    <col min="3335" max="3335" width="11.42578125" style="313" bestFit="1" customWidth="1"/>
    <col min="3336" max="3336" width="12.28515625" style="313" customWidth="1"/>
    <col min="3337" max="3337" width="1.42578125" style="313" customWidth="1"/>
    <col min="3338" max="3338" width="57.28515625" style="313" customWidth="1"/>
    <col min="3339" max="3582" width="9.140625" style="313"/>
    <col min="3583" max="3583" width="3.85546875" style="313" bestFit="1" customWidth="1"/>
    <col min="3584" max="3584" width="68.7109375" style="313" bestFit="1" customWidth="1"/>
    <col min="3585" max="3585" width="16" style="313" bestFit="1" customWidth="1"/>
    <col min="3586" max="3587" width="11.42578125" style="313" bestFit="1" customWidth="1"/>
    <col min="3588" max="3588" width="11.5703125" style="313" customWidth="1"/>
    <col min="3589" max="3589" width="11.42578125" style="313" bestFit="1" customWidth="1"/>
    <col min="3590" max="3590" width="12.28515625" style="313" customWidth="1"/>
    <col min="3591" max="3591" width="11.42578125" style="313" bestFit="1" customWidth="1"/>
    <col min="3592" max="3592" width="12.28515625" style="313" customWidth="1"/>
    <col min="3593" max="3593" width="1.42578125" style="313" customWidth="1"/>
    <col min="3594" max="3594" width="57.28515625" style="313" customWidth="1"/>
    <col min="3595" max="3838" width="9.140625" style="313"/>
    <col min="3839" max="3839" width="3.85546875" style="313" bestFit="1" customWidth="1"/>
    <col min="3840" max="3840" width="68.7109375" style="313" bestFit="1" customWidth="1"/>
    <col min="3841" max="3841" width="16" style="313" bestFit="1" customWidth="1"/>
    <col min="3842" max="3843" width="11.42578125" style="313" bestFit="1" customWidth="1"/>
    <col min="3844" max="3844" width="11.5703125" style="313" customWidth="1"/>
    <col min="3845" max="3845" width="11.42578125" style="313" bestFit="1" customWidth="1"/>
    <col min="3846" max="3846" width="12.28515625" style="313" customWidth="1"/>
    <col min="3847" max="3847" width="11.42578125" style="313" bestFit="1" customWidth="1"/>
    <col min="3848" max="3848" width="12.28515625" style="313" customWidth="1"/>
    <col min="3849" max="3849" width="1.42578125" style="313" customWidth="1"/>
    <col min="3850" max="3850" width="57.28515625" style="313" customWidth="1"/>
    <col min="3851" max="4094" width="9.140625" style="313"/>
    <col min="4095" max="4095" width="3.85546875" style="313" bestFit="1" customWidth="1"/>
    <col min="4096" max="4096" width="68.7109375" style="313" bestFit="1" customWidth="1"/>
    <col min="4097" max="4097" width="16" style="313" bestFit="1" customWidth="1"/>
    <col min="4098" max="4099" width="11.42578125" style="313" bestFit="1" customWidth="1"/>
    <col min="4100" max="4100" width="11.5703125" style="313" customWidth="1"/>
    <col min="4101" max="4101" width="11.42578125" style="313" bestFit="1" customWidth="1"/>
    <col min="4102" max="4102" width="12.28515625" style="313" customWidth="1"/>
    <col min="4103" max="4103" width="11.42578125" style="313" bestFit="1" customWidth="1"/>
    <col min="4104" max="4104" width="12.28515625" style="313" customWidth="1"/>
    <col min="4105" max="4105" width="1.42578125" style="313" customWidth="1"/>
    <col min="4106" max="4106" width="57.28515625" style="313" customWidth="1"/>
    <col min="4107" max="4350" width="9.140625" style="313"/>
    <col min="4351" max="4351" width="3.85546875" style="313" bestFit="1" customWidth="1"/>
    <col min="4352" max="4352" width="68.7109375" style="313" bestFit="1" customWidth="1"/>
    <col min="4353" max="4353" width="16" style="313" bestFit="1" customWidth="1"/>
    <col min="4354" max="4355" width="11.42578125" style="313" bestFit="1" customWidth="1"/>
    <col min="4356" max="4356" width="11.5703125" style="313" customWidth="1"/>
    <col min="4357" max="4357" width="11.42578125" style="313" bestFit="1" customWidth="1"/>
    <col min="4358" max="4358" width="12.28515625" style="313" customWidth="1"/>
    <col min="4359" max="4359" width="11.42578125" style="313" bestFit="1" customWidth="1"/>
    <col min="4360" max="4360" width="12.28515625" style="313" customWidth="1"/>
    <col min="4361" max="4361" width="1.42578125" style="313" customWidth="1"/>
    <col min="4362" max="4362" width="57.28515625" style="313" customWidth="1"/>
    <col min="4363" max="4606" width="9.140625" style="313"/>
    <col min="4607" max="4607" width="3.85546875" style="313" bestFit="1" customWidth="1"/>
    <col min="4608" max="4608" width="68.7109375" style="313" bestFit="1" customWidth="1"/>
    <col min="4609" max="4609" width="16" style="313" bestFit="1" customWidth="1"/>
    <col min="4610" max="4611" width="11.42578125" style="313" bestFit="1" customWidth="1"/>
    <col min="4612" max="4612" width="11.5703125" style="313" customWidth="1"/>
    <col min="4613" max="4613" width="11.42578125" style="313" bestFit="1" customWidth="1"/>
    <col min="4614" max="4614" width="12.28515625" style="313" customWidth="1"/>
    <col min="4615" max="4615" width="11.42578125" style="313" bestFit="1" customWidth="1"/>
    <col min="4616" max="4616" width="12.28515625" style="313" customWidth="1"/>
    <col min="4617" max="4617" width="1.42578125" style="313" customWidth="1"/>
    <col min="4618" max="4618" width="57.28515625" style="313" customWidth="1"/>
    <col min="4619" max="4862" width="9.140625" style="313"/>
    <col min="4863" max="4863" width="3.85546875" style="313" bestFit="1" customWidth="1"/>
    <col min="4864" max="4864" width="68.7109375" style="313" bestFit="1" customWidth="1"/>
    <col min="4865" max="4865" width="16" style="313" bestFit="1" customWidth="1"/>
    <col min="4866" max="4867" width="11.42578125" style="313" bestFit="1" customWidth="1"/>
    <col min="4868" max="4868" width="11.5703125" style="313" customWidth="1"/>
    <col min="4869" max="4869" width="11.42578125" style="313" bestFit="1" customWidth="1"/>
    <col min="4870" max="4870" width="12.28515625" style="313" customWidth="1"/>
    <col min="4871" max="4871" width="11.42578125" style="313" bestFit="1" customWidth="1"/>
    <col min="4872" max="4872" width="12.28515625" style="313" customWidth="1"/>
    <col min="4873" max="4873" width="1.42578125" style="313" customWidth="1"/>
    <col min="4874" max="4874" width="57.28515625" style="313" customWidth="1"/>
    <col min="4875" max="5118" width="9.140625" style="313"/>
    <col min="5119" max="5119" width="3.85546875" style="313" bestFit="1" customWidth="1"/>
    <col min="5120" max="5120" width="68.7109375" style="313" bestFit="1" customWidth="1"/>
    <col min="5121" max="5121" width="16" style="313" bestFit="1" customWidth="1"/>
    <col min="5122" max="5123" width="11.42578125" style="313" bestFit="1" customWidth="1"/>
    <col min="5124" max="5124" width="11.5703125" style="313" customWidth="1"/>
    <col min="5125" max="5125" width="11.42578125" style="313" bestFit="1" customWidth="1"/>
    <col min="5126" max="5126" width="12.28515625" style="313" customWidth="1"/>
    <col min="5127" max="5127" width="11.42578125" style="313" bestFit="1" customWidth="1"/>
    <col min="5128" max="5128" width="12.28515625" style="313" customWidth="1"/>
    <col min="5129" max="5129" width="1.42578125" style="313" customWidth="1"/>
    <col min="5130" max="5130" width="57.28515625" style="313" customWidth="1"/>
    <col min="5131" max="5374" width="9.140625" style="313"/>
    <col min="5375" max="5375" width="3.85546875" style="313" bestFit="1" customWidth="1"/>
    <col min="5376" max="5376" width="68.7109375" style="313" bestFit="1" customWidth="1"/>
    <col min="5377" max="5377" width="16" style="313" bestFit="1" customWidth="1"/>
    <col min="5378" max="5379" width="11.42578125" style="313" bestFit="1" customWidth="1"/>
    <col min="5380" max="5380" width="11.5703125" style="313" customWidth="1"/>
    <col min="5381" max="5381" width="11.42578125" style="313" bestFit="1" customWidth="1"/>
    <col min="5382" max="5382" width="12.28515625" style="313" customWidth="1"/>
    <col min="5383" max="5383" width="11.42578125" style="313" bestFit="1" customWidth="1"/>
    <col min="5384" max="5384" width="12.28515625" style="313" customWidth="1"/>
    <col min="5385" max="5385" width="1.42578125" style="313" customWidth="1"/>
    <col min="5386" max="5386" width="57.28515625" style="313" customWidth="1"/>
    <col min="5387" max="5630" width="9.140625" style="313"/>
    <col min="5631" max="5631" width="3.85546875" style="313" bestFit="1" customWidth="1"/>
    <col min="5632" max="5632" width="68.7109375" style="313" bestFit="1" customWidth="1"/>
    <col min="5633" max="5633" width="16" style="313" bestFit="1" customWidth="1"/>
    <col min="5634" max="5635" width="11.42578125" style="313" bestFit="1" customWidth="1"/>
    <col min="5636" max="5636" width="11.5703125" style="313" customWidth="1"/>
    <col min="5637" max="5637" width="11.42578125" style="313" bestFit="1" customWidth="1"/>
    <col min="5638" max="5638" width="12.28515625" style="313" customWidth="1"/>
    <col min="5639" max="5639" width="11.42578125" style="313" bestFit="1" customWidth="1"/>
    <col min="5640" max="5640" width="12.28515625" style="313" customWidth="1"/>
    <col min="5641" max="5641" width="1.42578125" style="313" customWidth="1"/>
    <col min="5642" max="5642" width="57.28515625" style="313" customWidth="1"/>
    <col min="5643" max="5886" width="9.140625" style="313"/>
    <col min="5887" max="5887" width="3.85546875" style="313" bestFit="1" customWidth="1"/>
    <col min="5888" max="5888" width="68.7109375" style="313" bestFit="1" customWidth="1"/>
    <col min="5889" max="5889" width="16" style="313" bestFit="1" customWidth="1"/>
    <col min="5890" max="5891" width="11.42578125" style="313" bestFit="1" customWidth="1"/>
    <col min="5892" max="5892" width="11.5703125" style="313" customWidth="1"/>
    <col min="5893" max="5893" width="11.42578125" style="313" bestFit="1" customWidth="1"/>
    <col min="5894" max="5894" width="12.28515625" style="313" customWidth="1"/>
    <col min="5895" max="5895" width="11.42578125" style="313" bestFit="1" customWidth="1"/>
    <col min="5896" max="5896" width="12.28515625" style="313" customWidth="1"/>
    <col min="5897" max="5897" width="1.42578125" style="313" customWidth="1"/>
    <col min="5898" max="5898" width="57.28515625" style="313" customWidth="1"/>
    <col min="5899" max="6142" width="9.140625" style="313"/>
    <col min="6143" max="6143" width="3.85546875" style="313" bestFit="1" customWidth="1"/>
    <col min="6144" max="6144" width="68.7109375" style="313" bestFit="1" customWidth="1"/>
    <col min="6145" max="6145" width="16" style="313" bestFit="1" customWidth="1"/>
    <col min="6146" max="6147" width="11.42578125" style="313" bestFit="1" customWidth="1"/>
    <col min="6148" max="6148" width="11.5703125" style="313" customWidth="1"/>
    <col min="6149" max="6149" width="11.42578125" style="313" bestFit="1" customWidth="1"/>
    <col min="6150" max="6150" width="12.28515625" style="313" customWidth="1"/>
    <col min="6151" max="6151" width="11.42578125" style="313" bestFit="1" customWidth="1"/>
    <col min="6152" max="6152" width="12.28515625" style="313" customWidth="1"/>
    <col min="6153" max="6153" width="1.42578125" style="313" customWidth="1"/>
    <col min="6154" max="6154" width="57.28515625" style="313" customWidth="1"/>
    <col min="6155" max="6398" width="9.140625" style="313"/>
    <col min="6399" max="6399" width="3.85546875" style="313" bestFit="1" customWidth="1"/>
    <col min="6400" max="6400" width="68.7109375" style="313" bestFit="1" customWidth="1"/>
    <col min="6401" max="6401" width="16" style="313" bestFit="1" customWidth="1"/>
    <col min="6402" max="6403" width="11.42578125" style="313" bestFit="1" customWidth="1"/>
    <col min="6404" max="6404" width="11.5703125" style="313" customWidth="1"/>
    <col min="6405" max="6405" width="11.42578125" style="313" bestFit="1" customWidth="1"/>
    <col min="6406" max="6406" width="12.28515625" style="313" customWidth="1"/>
    <col min="6407" max="6407" width="11.42578125" style="313" bestFit="1" customWidth="1"/>
    <col min="6408" max="6408" width="12.28515625" style="313" customWidth="1"/>
    <col min="6409" max="6409" width="1.42578125" style="313" customWidth="1"/>
    <col min="6410" max="6410" width="57.28515625" style="313" customWidth="1"/>
    <col min="6411" max="6654" width="9.140625" style="313"/>
    <col min="6655" max="6655" width="3.85546875" style="313" bestFit="1" customWidth="1"/>
    <col min="6656" max="6656" width="68.7109375" style="313" bestFit="1" customWidth="1"/>
    <col min="6657" max="6657" width="16" style="313" bestFit="1" customWidth="1"/>
    <col min="6658" max="6659" width="11.42578125" style="313" bestFit="1" customWidth="1"/>
    <col min="6660" max="6660" width="11.5703125" style="313" customWidth="1"/>
    <col min="6661" max="6661" width="11.42578125" style="313" bestFit="1" customWidth="1"/>
    <col min="6662" max="6662" width="12.28515625" style="313" customWidth="1"/>
    <col min="6663" max="6663" width="11.42578125" style="313" bestFit="1" customWidth="1"/>
    <col min="6664" max="6664" width="12.28515625" style="313" customWidth="1"/>
    <col min="6665" max="6665" width="1.42578125" style="313" customWidth="1"/>
    <col min="6666" max="6666" width="57.28515625" style="313" customWidth="1"/>
    <col min="6667" max="6910" width="9.140625" style="313"/>
    <col min="6911" max="6911" width="3.85546875" style="313" bestFit="1" customWidth="1"/>
    <col min="6912" max="6912" width="68.7109375" style="313" bestFit="1" customWidth="1"/>
    <col min="6913" max="6913" width="16" style="313" bestFit="1" customWidth="1"/>
    <col min="6914" max="6915" width="11.42578125" style="313" bestFit="1" customWidth="1"/>
    <col min="6916" max="6916" width="11.5703125" style="313" customWidth="1"/>
    <col min="6917" max="6917" width="11.42578125" style="313" bestFit="1" customWidth="1"/>
    <col min="6918" max="6918" width="12.28515625" style="313" customWidth="1"/>
    <col min="6919" max="6919" width="11.42578125" style="313" bestFit="1" customWidth="1"/>
    <col min="6920" max="6920" width="12.28515625" style="313" customWidth="1"/>
    <col min="6921" max="6921" width="1.42578125" style="313" customWidth="1"/>
    <col min="6922" max="6922" width="57.28515625" style="313" customWidth="1"/>
    <col min="6923" max="7166" width="9.140625" style="313"/>
    <col min="7167" max="7167" width="3.85546875" style="313" bestFit="1" customWidth="1"/>
    <col min="7168" max="7168" width="68.7109375" style="313" bestFit="1" customWidth="1"/>
    <col min="7169" max="7169" width="16" style="313" bestFit="1" customWidth="1"/>
    <col min="7170" max="7171" width="11.42578125" style="313" bestFit="1" customWidth="1"/>
    <col min="7172" max="7172" width="11.5703125" style="313" customWidth="1"/>
    <col min="7173" max="7173" width="11.42578125" style="313" bestFit="1" customWidth="1"/>
    <col min="7174" max="7174" width="12.28515625" style="313" customWidth="1"/>
    <col min="7175" max="7175" width="11.42578125" style="313" bestFit="1" customWidth="1"/>
    <col min="7176" max="7176" width="12.28515625" style="313" customWidth="1"/>
    <col min="7177" max="7177" width="1.42578125" style="313" customWidth="1"/>
    <col min="7178" max="7178" width="57.28515625" style="313" customWidth="1"/>
    <col min="7179" max="7422" width="9.140625" style="313"/>
    <col min="7423" max="7423" width="3.85546875" style="313" bestFit="1" customWidth="1"/>
    <col min="7424" max="7424" width="68.7109375" style="313" bestFit="1" customWidth="1"/>
    <col min="7425" max="7425" width="16" style="313" bestFit="1" customWidth="1"/>
    <col min="7426" max="7427" width="11.42578125" style="313" bestFit="1" customWidth="1"/>
    <col min="7428" max="7428" width="11.5703125" style="313" customWidth="1"/>
    <col min="7429" max="7429" width="11.42578125" style="313" bestFit="1" customWidth="1"/>
    <col min="7430" max="7430" width="12.28515625" style="313" customWidth="1"/>
    <col min="7431" max="7431" width="11.42578125" style="313" bestFit="1" customWidth="1"/>
    <col min="7432" max="7432" width="12.28515625" style="313" customWidth="1"/>
    <col min="7433" max="7433" width="1.42578125" style="313" customWidth="1"/>
    <col min="7434" max="7434" width="57.28515625" style="313" customWidth="1"/>
    <col min="7435" max="7678" width="9.140625" style="313"/>
    <col min="7679" max="7679" width="3.85546875" style="313" bestFit="1" customWidth="1"/>
    <col min="7680" max="7680" width="68.7109375" style="313" bestFit="1" customWidth="1"/>
    <col min="7681" max="7681" width="16" style="313" bestFit="1" customWidth="1"/>
    <col min="7682" max="7683" width="11.42578125" style="313" bestFit="1" customWidth="1"/>
    <col min="7684" max="7684" width="11.5703125" style="313" customWidth="1"/>
    <col min="7685" max="7685" width="11.42578125" style="313" bestFit="1" customWidth="1"/>
    <col min="7686" max="7686" width="12.28515625" style="313" customWidth="1"/>
    <col min="7687" max="7687" width="11.42578125" style="313" bestFit="1" customWidth="1"/>
    <col min="7688" max="7688" width="12.28515625" style="313" customWidth="1"/>
    <col min="7689" max="7689" width="1.42578125" style="313" customWidth="1"/>
    <col min="7690" max="7690" width="57.28515625" style="313" customWidth="1"/>
    <col min="7691" max="7934" width="9.140625" style="313"/>
    <col min="7935" max="7935" width="3.85546875" style="313" bestFit="1" customWidth="1"/>
    <col min="7936" max="7936" width="68.7109375" style="313" bestFit="1" customWidth="1"/>
    <col min="7937" max="7937" width="16" style="313" bestFit="1" customWidth="1"/>
    <col min="7938" max="7939" width="11.42578125" style="313" bestFit="1" customWidth="1"/>
    <col min="7940" max="7940" width="11.5703125" style="313" customWidth="1"/>
    <col min="7941" max="7941" width="11.42578125" style="313" bestFit="1" customWidth="1"/>
    <col min="7942" max="7942" width="12.28515625" style="313" customWidth="1"/>
    <col min="7943" max="7943" width="11.42578125" style="313" bestFit="1" customWidth="1"/>
    <col min="7944" max="7944" width="12.28515625" style="313" customWidth="1"/>
    <col min="7945" max="7945" width="1.42578125" style="313" customWidth="1"/>
    <col min="7946" max="7946" width="57.28515625" style="313" customWidth="1"/>
    <col min="7947" max="8190" width="9.140625" style="313"/>
    <col min="8191" max="8191" width="3.85546875" style="313" bestFit="1" customWidth="1"/>
    <col min="8192" max="8192" width="68.7109375" style="313" bestFit="1" customWidth="1"/>
    <col min="8193" max="8193" width="16" style="313" bestFit="1" customWidth="1"/>
    <col min="8194" max="8195" width="11.42578125" style="313" bestFit="1" customWidth="1"/>
    <col min="8196" max="8196" width="11.5703125" style="313" customWidth="1"/>
    <col min="8197" max="8197" width="11.42578125" style="313" bestFit="1" customWidth="1"/>
    <col min="8198" max="8198" width="12.28515625" style="313" customWidth="1"/>
    <col min="8199" max="8199" width="11.42578125" style="313" bestFit="1" customWidth="1"/>
    <col min="8200" max="8200" width="12.28515625" style="313" customWidth="1"/>
    <col min="8201" max="8201" width="1.42578125" style="313" customWidth="1"/>
    <col min="8202" max="8202" width="57.28515625" style="313" customWidth="1"/>
    <col min="8203" max="8446" width="9.140625" style="313"/>
    <col min="8447" max="8447" width="3.85546875" style="313" bestFit="1" customWidth="1"/>
    <col min="8448" max="8448" width="68.7109375" style="313" bestFit="1" customWidth="1"/>
    <col min="8449" max="8449" width="16" style="313" bestFit="1" customWidth="1"/>
    <col min="8450" max="8451" width="11.42578125" style="313" bestFit="1" customWidth="1"/>
    <col min="8452" max="8452" width="11.5703125" style="313" customWidth="1"/>
    <col min="8453" max="8453" width="11.42578125" style="313" bestFit="1" customWidth="1"/>
    <col min="8454" max="8454" width="12.28515625" style="313" customWidth="1"/>
    <col min="8455" max="8455" width="11.42578125" style="313" bestFit="1" customWidth="1"/>
    <col min="8456" max="8456" width="12.28515625" style="313" customWidth="1"/>
    <col min="8457" max="8457" width="1.42578125" style="313" customWidth="1"/>
    <col min="8458" max="8458" width="57.28515625" style="313" customWidth="1"/>
    <col min="8459" max="8702" width="9.140625" style="313"/>
    <col min="8703" max="8703" width="3.85546875" style="313" bestFit="1" customWidth="1"/>
    <col min="8704" max="8704" width="68.7109375" style="313" bestFit="1" customWidth="1"/>
    <col min="8705" max="8705" width="16" style="313" bestFit="1" customWidth="1"/>
    <col min="8706" max="8707" width="11.42578125" style="313" bestFit="1" customWidth="1"/>
    <col min="8708" max="8708" width="11.5703125" style="313" customWidth="1"/>
    <col min="8709" max="8709" width="11.42578125" style="313" bestFit="1" customWidth="1"/>
    <col min="8710" max="8710" width="12.28515625" style="313" customWidth="1"/>
    <col min="8711" max="8711" width="11.42578125" style="313" bestFit="1" customWidth="1"/>
    <col min="8712" max="8712" width="12.28515625" style="313" customWidth="1"/>
    <col min="8713" max="8713" width="1.42578125" style="313" customWidth="1"/>
    <col min="8714" max="8714" width="57.28515625" style="313" customWidth="1"/>
    <col min="8715" max="8958" width="9.140625" style="313"/>
    <col min="8959" max="8959" width="3.85546875" style="313" bestFit="1" customWidth="1"/>
    <col min="8960" max="8960" width="68.7109375" style="313" bestFit="1" customWidth="1"/>
    <col min="8961" max="8961" width="16" style="313" bestFit="1" customWidth="1"/>
    <col min="8962" max="8963" width="11.42578125" style="313" bestFit="1" customWidth="1"/>
    <col min="8964" max="8964" width="11.5703125" style="313" customWidth="1"/>
    <col min="8965" max="8965" width="11.42578125" style="313" bestFit="1" customWidth="1"/>
    <col min="8966" max="8966" width="12.28515625" style="313" customWidth="1"/>
    <col min="8967" max="8967" width="11.42578125" style="313" bestFit="1" customWidth="1"/>
    <col min="8968" max="8968" width="12.28515625" style="313" customWidth="1"/>
    <col min="8969" max="8969" width="1.42578125" style="313" customWidth="1"/>
    <col min="8970" max="8970" width="57.28515625" style="313" customWidth="1"/>
    <col min="8971" max="9214" width="9.140625" style="313"/>
    <col min="9215" max="9215" width="3.85546875" style="313" bestFit="1" customWidth="1"/>
    <col min="9216" max="9216" width="68.7109375" style="313" bestFit="1" customWidth="1"/>
    <col min="9217" max="9217" width="16" style="313" bestFit="1" customWidth="1"/>
    <col min="9218" max="9219" width="11.42578125" style="313" bestFit="1" customWidth="1"/>
    <col min="9220" max="9220" width="11.5703125" style="313" customWidth="1"/>
    <col min="9221" max="9221" width="11.42578125" style="313" bestFit="1" customWidth="1"/>
    <col min="9222" max="9222" width="12.28515625" style="313" customWidth="1"/>
    <col min="9223" max="9223" width="11.42578125" style="313" bestFit="1" customWidth="1"/>
    <col min="9224" max="9224" width="12.28515625" style="313" customWidth="1"/>
    <col min="9225" max="9225" width="1.42578125" style="313" customWidth="1"/>
    <col min="9226" max="9226" width="57.28515625" style="313" customWidth="1"/>
    <col min="9227" max="9470" width="9.140625" style="313"/>
    <col min="9471" max="9471" width="3.85546875" style="313" bestFit="1" customWidth="1"/>
    <col min="9472" max="9472" width="68.7109375" style="313" bestFit="1" customWidth="1"/>
    <col min="9473" max="9473" width="16" style="313" bestFit="1" customWidth="1"/>
    <col min="9474" max="9475" width="11.42578125" style="313" bestFit="1" customWidth="1"/>
    <col min="9476" max="9476" width="11.5703125" style="313" customWidth="1"/>
    <col min="9477" max="9477" width="11.42578125" style="313" bestFit="1" customWidth="1"/>
    <col min="9478" max="9478" width="12.28515625" style="313" customWidth="1"/>
    <col min="9479" max="9479" width="11.42578125" style="313" bestFit="1" customWidth="1"/>
    <col min="9480" max="9480" width="12.28515625" style="313" customWidth="1"/>
    <col min="9481" max="9481" width="1.42578125" style="313" customWidth="1"/>
    <col min="9482" max="9482" width="57.28515625" style="313" customWidth="1"/>
    <col min="9483" max="9726" width="9.140625" style="313"/>
    <col min="9727" max="9727" width="3.85546875" style="313" bestFit="1" customWidth="1"/>
    <col min="9728" max="9728" width="68.7109375" style="313" bestFit="1" customWidth="1"/>
    <col min="9729" max="9729" width="16" style="313" bestFit="1" customWidth="1"/>
    <col min="9730" max="9731" width="11.42578125" style="313" bestFit="1" customWidth="1"/>
    <col min="9732" max="9732" width="11.5703125" style="313" customWidth="1"/>
    <col min="9733" max="9733" width="11.42578125" style="313" bestFit="1" customWidth="1"/>
    <col min="9734" max="9734" width="12.28515625" style="313" customWidth="1"/>
    <col min="9735" max="9735" width="11.42578125" style="313" bestFit="1" customWidth="1"/>
    <col min="9736" max="9736" width="12.28515625" style="313" customWidth="1"/>
    <col min="9737" max="9737" width="1.42578125" style="313" customWidth="1"/>
    <col min="9738" max="9738" width="57.28515625" style="313" customWidth="1"/>
    <col min="9739" max="9982" width="9.140625" style="313"/>
    <col min="9983" max="9983" width="3.85546875" style="313" bestFit="1" customWidth="1"/>
    <col min="9984" max="9984" width="68.7109375" style="313" bestFit="1" customWidth="1"/>
    <col min="9985" max="9985" width="16" style="313" bestFit="1" customWidth="1"/>
    <col min="9986" max="9987" width="11.42578125" style="313" bestFit="1" customWidth="1"/>
    <col min="9988" max="9988" width="11.5703125" style="313" customWidth="1"/>
    <col min="9989" max="9989" width="11.42578125" style="313" bestFit="1" customWidth="1"/>
    <col min="9990" max="9990" width="12.28515625" style="313" customWidth="1"/>
    <col min="9991" max="9991" width="11.42578125" style="313" bestFit="1" customWidth="1"/>
    <col min="9992" max="9992" width="12.28515625" style="313" customWidth="1"/>
    <col min="9993" max="9993" width="1.42578125" style="313" customWidth="1"/>
    <col min="9994" max="9994" width="57.28515625" style="313" customWidth="1"/>
    <col min="9995" max="10238" width="9.140625" style="313"/>
    <col min="10239" max="10239" width="3.85546875" style="313" bestFit="1" customWidth="1"/>
    <col min="10240" max="10240" width="68.7109375" style="313" bestFit="1" customWidth="1"/>
    <col min="10241" max="10241" width="16" style="313" bestFit="1" customWidth="1"/>
    <col min="10242" max="10243" width="11.42578125" style="313" bestFit="1" customWidth="1"/>
    <col min="10244" max="10244" width="11.5703125" style="313" customWidth="1"/>
    <col min="10245" max="10245" width="11.42578125" style="313" bestFit="1" customWidth="1"/>
    <col min="10246" max="10246" width="12.28515625" style="313" customWidth="1"/>
    <col min="10247" max="10247" width="11.42578125" style="313" bestFit="1" customWidth="1"/>
    <col min="10248" max="10248" width="12.28515625" style="313" customWidth="1"/>
    <col min="10249" max="10249" width="1.42578125" style="313" customWidth="1"/>
    <col min="10250" max="10250" width="57.28515625" style="313" customWidth="1"/>
    <col min="10251" max="10494" width="9.140625" style="313"/>
    <col min="10495" max="10495" width="3.85546875" style="313" bestFit="1" customWidth="1"/>
    <col min="10496" max="10496" width="68.7109375" style="313" bestFit="1" customWidth="1"/>
    <col min="10497" max="10497" width="16" style="313" bestFit="1" customWidth="1"/>
    <col min="10498" max="10499" width="11.42578125" style="313" bestFit="1" customWidth="1"/>
    <col min="10500" max="10500" width="11.5703125" style="313" customWidth="1"/>
    <col min="10501" max="10501" width="11.42578125" style="313" bestFit="1" customWidth="1"/>
    <col min="10502" max="10502" width="12.28515625" style="313" customWidth="1"/>
    <col min="10503" max="10503" width="11.42578125" style="313" bestFit="1" customWidth="1"/>
    <col min="10504" max="10504" width="12.28515625" style="313" customWidth="1"/>
    <col min="10505" max="10505" width="1.42578125" style="313" customWidth="1"/>
    <col min="10506" max="10506" width="57.28515625" style="313" customWidth="1"/>
    <col min="10507" max="10750" width="9.140625" style="313"/>
    <col min="10751" max="10751" width="3.85546875" style="313" bestFit="1" customWidth="1"/>
    <col min="10752" max="10752" width="68.7109375" style="313" bestFit="1" customWidth="1"/>
    <col min="10753" max="10753" width="16" style="313" bestFit="1" customWidth="1"/>
    <col min="10754" max="10755" width="11.42578125" style="313" bestFit="1" customWidth="1"/>
    <col min="10756" max="10756" width="11.5703125" style="313" customWidth="1"/>
    <col min="10757" max="10757" width="11.42578125" style="313" bestFit="1" customWidth="1"/>
    <col min="10758" max="10758" width="12.28515625" style="313" customWidth="1"/>
    <col min="10759" max="10759" width="11.42578125" style="313" bestFit="1" customWidth="1"/>
    <col min="10760" max="10760" width="12.28515625" style="313" customWidth="1"/>
    <col min="10761" max="10761" width="1.42578125" style="313" customWidth="1"/>
    <col min="10762" max="10762" width="57.28515625" style="313" customWidth="1"/>
    <col min="10763" max="11006" width="9.140625" style="313"/>
    <col min="11007" max="11007" width="3.85546875" style="313" bestFit="1" customWidth="1"/>
    <col min="11008" max="11008" width="68.7109375" style="313" bestFit="1" customWidth="1"/>
    <col min="11009" max="11009" width="16" style="313" bestFit="1" customWidth="1"/>
    <col min="11010" max="11011" width="11.42578125" style="313" bestFit="1" customWidth="1"/>
    <col min="11012" max="11012" width="11.5703125" style="313" customWidth="1"/>
    <col min="11013" max="11013" width="11.42578125" style="313" bestFit="1" customWidth="1"/>
    <col min="11014" max="11014" width="12.28515625" style="313" customWidth="1"/>
    <col min="11015" max="11015" width="11.42578125" style="313" bestFit="1" customWidth="1"/>
    <col min="11016" max="11016" width="12.28515625" style="313" customWidth="1"/>
    <col min="11017" max="11017" width="1.42578125" style="313" customWidth="1"/>
    <col min="11018" max="11018" width="57.28515625" style="313" customWidth="1"/>
    <col min="11019" max="11262" width="9.140625" style="313"/>
    <col min="11263" max="11263" width="3.85546875" style="313" bestFit="1" customWidth="1"/>
    <col min="11264" max="11264" width="68.7109375" style="313" bestFit="1" customWidth="1"/>
    <col min="11265" max="11265" width="16" style="313" bestFit="1" customWidth="1"/>
    <col min="11266" max="11267" width="11.42578125" style="313" bestFit="1" customWidth="1"/>
    <col min="11268" max="11268" width="11.5703125" style="313" customWidth="1"/>
    <col min="11269" max="11269" width="11.42578125" style="313" bestFit="1" customWidth="1"/>
    <col min="11270" max="11270" width="12.28515625" style="313" customWidth="1"/>
    <col min="11271" max="11271" width="11.42578125" style="313" bestFit="1" customWidth="1"/>
    <col min="11272" max="11272" width="12.28515625" style="313" customWidth="1"/>
    <col min="11273" max="11273" width="1.42578125" style="313" customWidth="1"/>
    <col min="11274" max="11274" width="57.28515625" style="313" customWidth="1"/>
    <col min="11275" max="11518" width="9.140625" style="313"/>
    <col min="11519" max="11519" width="3.85546875" style="313" bestFit="1" customWidth="1"/>
    <col min="11520" max="11520" width="68.7109375" style="313" bestFit="1" customWidth="1"/>
    <col min="11521" max="11521" width="16" style="313" bestFit="1" customWidth="1"/>
    <col min="11522" max="11523" width="11.42578125" style="313" bestFit="1" customWidth="1"/>
    <col min="11524" max="11524" width="11.5703125" style="313" customWidth="1"/>
    <col min="11525" max="11525" width="11.42578125" style="313" bestFit="1" customWidth="1"/>
    <col min="11526" max="11526" width="12.28515625" style="313" customWidth="1"/>
    <col min="11527" max="11527" width="11.42578125" style="313" bestFit="1" customWidth="1"/>
    <col min="11528" max="11528" width="12.28515625" style="313" customWidth="1"/>
    <col min="11529" max="11529" width="1.42578125" style="313" customWidth="1"/>
    <col min="11530" max="11530" width="57.28515625" style="313" customWidth="1"/>
    <col min="11531" max="11774" width="9.140625" style="313"/>
    <col min="11775" max="11775" width="3.85546875" style="313" bestFit="1" customWidth="1"/>
    <col min="11776" max="11776" width="68.7109375" style="313" bestFit="1" customWidth="1"/>
    <col min="11777" max="11777" width="16" style="313" bestFit="1" customWidth="1"/>
    <col min="11778" max="11779" width="11.42578125" style="313" bestFit="1" customWidth="1"/>
    <col min="11780" max="11780" width="11.5703125" style="313" customWidth="1"/>
    <col min="11781" max="11781" width="11.42578125" style="313" bestFit="1" customWidth="1"/>
    <col min="11782" max="11782" width="12.28515625" style="313" customWidth="1"/>
    <col min="11783" max="11783" width="11.42578125" style="313" bestFit="1" customWidth="1"/>
    <col min="11784" max="11784" width="12.28515625" style="313" customWidth="1"/>
    <col min="11785" max="11785" width="1.42578125" style="313" customWidth="1"/>
    <col min="11786" max="11786" width="57.28515625" style="313" customWidth="1"/>
    <col min="11787" max="12030" width="9.140625" style="313"/>
    <col min="12031" max="12031" width="3.85546875" style="313" bestFit="1" customWidth="1"/>
    <col min="12032" max="12032" width="68.7109375" style="313" bestFit="1" customWidth="1"/>
    <col min="12033" max="12033" width="16" style="313" bestFit="1" customWidth="1"/>
    <col min="12034" max="12035" width="11.42578125" style="313" bestFit="1" customWidth="1"/>
    <col min="12036" max="12036" width="11.5703125" style="313" customWidth="1"/>
    <col min="12037" max="12037" width="11.42578125" style="313" bestFit="1" customWidth="1"/>
    <col min="12038" max="12038" width="12.28515625" style="313" customWidth="1"/>
    <col min="12039" max="12039" width="11.42578125" style="313" bestFit="1" customWidth="1"/>
    <col min="12040" max="12040" width="12.28515625" style="313" customWidth="1"/>
    <col min="12041" max="12041" width="1.42578125" style="313" customWidth="1"/>
    <col min="12042" max="12042" width="57.28515625" style="313" customWidth="1"/>
    <col min="12043" max="12286" width="9.140625" style="313"/>
    <col min="12287" max="12287" width="3.85546875" style="313" bestFit="1" customWidth="1"/>
    <col min="12288" max="12288" width="68.7109375" style="313" bestFit="1" customWidth="1"/>
    <col min="12289" max="12289" width="16" style="313" bestFit="1" customWidth="1"/>
    <col min="12290" max="12291" width="11.42578125" style="313" bestFit="1" customWidth="1"/>
    <col min="12292" max="12292" width="11.5703125" style="313" customWidth="1"/>
    <col min="12293" max="12293" width="11.42578125" style="313" bestFit="1" customWidth="1"/>
    <col min="12294" max="12294" width="12.28515625" style="313" customWidth="1"/>
    <col min="12295" max="12295" width="11.42578125" style="313" bestFit="1" customWidth="1"/>
    <col min="12296" max="12296" width="12.28515625" style="313" customWidth="1"/>
    <col min="12297" max="12297" width="1.42578125" style="313" customWidth="1"/>
    <col min="12298" max="12298" width="57.28515625" style="313" customWidth="1"/>
    <col min="12299" max="12542" width="9.140625" style="313"/>
    <col min="12543" max="12543" width="3.85546875" style="313" bestFit="1" customWidth="1"/>
    <col min="12544" max="12544" width="68.7109375" style="313" bestFit="1" customWidth="1"/>
    <col min="12545" max="12545" width="16" style="313" bestFit="1" customWidth="1"/>
    <col min="12546" max="12547" width="11.42578125" style="313" bestFit="1" customWidth="1"/>
    <col min="12548" max="12548" width="11.5703125" style="313" customWidth="1"/>
    <col min="12549" max="12549" width="11.42578125" style="313" bestFit="1" customWidth="1"/>
    <col min="12550" max="12550" width="12.28515625" style="313" customWidth="1"/>
    <col min="12551" max="12551" width="11.42578125" style="313" bestFit="1" customWidth="1"/>
    <col min="12552" max="12552" width="12.28515625" style="313" customWidth="1"/>
    <col min="12553" max="12553" width="1.42578125" style="313" customWidth="1"/>
    <col min="12554" max="12554" width="57.28515625" style="313" customWidth="1"/>
    <col min="12555" max="12798" width="9.140625" style="313"/>
    <col min="12799" max="12799" width="3.85546875" style="313" bestFit="1" customWidth="1"/>
    <col min="12800" max="12800" width="68.7109375" style="313" bestFit="1" customWidth="1"/>
    <col min="12801" max="12801" width="16" style="313" bestFit="1" customWidth="1"/>
    <col min="12802" max="12803" width="11.42578125" style="313" bestFit="1" customWidth="1"/>
    <col min="12804" max="12804" width="11.5703125" style="313" customWidth="1"/>
    <col min="12805" max="12805" width="11.42578125" style="313" bestFit="1" customWidth="1"/>
    <col min="12806" max="12806" width="12.28515625" style="313" customWidth="1"/>
    <col min="12807" max="12807" width="11.42578125" style="313" bestFit="1" customWidth="1"/>
    <col min="12808" max="12808" width="12.28515625" style="313" customWidth="1"/>
    <col min="12809" max="12809" width="1.42578125" style="313" customWidth="1"/>
    <col min="12810" max="12810" width="57.28515625" style="313" customWidth="1"/>
    <col min="12811" max="13054" width="9.140625" style="313"/>
    <col min="13055" max="13055" width="3.85546875" style="313" bestFit="1" customWidth="1"/>
    <col min="13056" max="13056" width="68.7109375" style="313" bestFit="1" customWidth="1"/>
    <col min="13057" max="13057" width="16" style="313" bestFit="1" customWidth="1"/>
    <col min="13058" max="13059" width="11.42578125" style="313" bestFit="1" customWidth="1"/>
    <col min="13060" max="13060" width="11.5703125" style="313" customWidth="1"/>
    <col min="13061" max="13061" width="11.42578125" style="313" bestFit="1" customWidth="1"/>
    <col min="13062" max="13062" width="12.28515625" style="313" customWidth="1"/>
    <col min="13063" max="13063" width="11.42578125" style="313" bestFit="1" customWidth="1"/>
    <col min="13064" max="13064" width="12.28515625" style="313" customWidth="1"/>
    <col min="13065" max="13065" width="1.42578125" style="313" customWidth="1"/>
    <col min="13066" max="13066" width="57.28515625" style="313" customWidth="1"/>
    <col min="13067" max="13310" width="9.140625" style="313"/>
    <col min="13311" max="13311" width="3.85546875" style="313" bestFit="1" customWidth="1"/>
    <col min="13312" max="13312" width="68.7109375" style="313" bestFit="1" customWidth="1"/>
    <col min="13313" max="13313" width="16" style="313" bestFit="1" customWidth="1"/>
    <col min="13314" max="13315" width="11.42578125" style="313" bestFit="1" customWidth="1"/>
    <col min="13316" max="13316" width="11.5703125" style="313" customWidth="1"/>
    <col min="13317" max="13317" width="11.42578125" style="313" bestFit="1" customWidth="1"/>
    <col min="13318" max="13318" width="12.28515625" style="313" customWidth="1"/>
    <col min="13319" max="13319" width="11.42578125" style="313" bestFit="1" customWidth="1"/>
    <col min="13320" max="13320" width="12.28515625" style="313" customWidth="1"/>
    <col min="13321" max="13321" width="1.42578125" style="313" customWidth="1"/>
    <col min="13322" max="13322" width="57.28515625" style="313" customWidth="1"/>
    <col min="13323" max="13566" width="9.140625" style="313"/>
    <col min="13567" max="13567" width="3.85546875" style="313" bestFit="1" customWidth="1"/>
    <col min="13568" max="13568" width="68.7109375" style="313" bestFit="1" customWidth="1"/>
    <col min="13569" max="13569" width="16" style="313" bestFit="1" customWidth="1"/>
    <col min="13570" max="13571" width="11.42578125" style="313" bestFit="1" customWidth="1"/>
    <col min="13572" max="13572" width="11.5703125" style="313" customWidth="1"/>
    <col min="13573" max="13573" width="11.42578125" style="313" bestFit="1" customWidth="1"/>
    <col min="13574" max="13574" width="12.28515625" style="313" customWidth="1"/>
    <col min="13575" max="13575" width="11.42578125" style="313" bestFit="1" customWidth="1"/>
    <col min="13576" max="13576" width="12.28515625" style="313" customWidth="1"/>
    <col min="13577" max="13577" width="1.42578125" style="313" customWidth="1"/>
    <col min="13578" max="13578" width="57.28515625" style="313" customWidth="1"/>
    <col min="13579" max="13822" width="9.140625" style="313"/>
    <col min="13823" max="13823" width="3.85546875" style="313" bestFit="1" customWidth="1"/>
    <col min="13824" max="13824" width="68.7109375" style="313" bestFit="1" customWidth="1"/>
    <col min="13825" max="13825" width="16" style="313" bestFit="1" customWidth="1"/>
    <col min="13826" max="13827" width="11.42578125" style="313" bestFit="1" customWidth="1"/>
    <col min="13828" max="13828" width="11.5703125" style="313" customWidth="1"/>
    <col min="13829" max="13829" width="11.42578125" style="313" bestFit="1" customWidth="1"/>
    <col min="13830" max="13830" width="12.28515625" style="313" customWidth="1"/>
    <col min="13831" max="13831" width="11.42578125" style="313" bestFit="1" customWidth="1"/>
    <col min="13832" max="13832" width="12.28515625" style="313" customWidth="1"/>
    <col min="13833" max="13833" width="1.42578125" style="313" customWidth="1"/>
    <col min="13834" max="13834" width="57.28515625" style="313" customWidth="1"/>
    <col min="13835" max="14078" width="9.140625" style="313"/>
    <col min="14079" max="14079" width="3.85546875" style="313" bestFit="1" customWidth="1"/>
    <col min="14080" max="14080" width="68.7109375" style="313" bestFit="1" customWidth="1"/>
    <col min="14081" max="14081" width="16" style="313" bestFit="1" customWidth="1"/>
    <col min="14082" max="14083" width="11.42578125" style="313" bestFit="1" customWidth="1"/>
    <col min="14084" max="14084" width="11.5703125" style="313" customWidth="1"/>
    <col min="14085" max="14085" width="11.42578125" style="313" bestFit="1" customWidth="1"/>
    <col min="14086" max="14086" width="12.28515625" style="313" customWidth="1"/>
    <col min="14087" max="14087" width="11.42578125" style="313" bestFit="1" customWidth="1"/>
    <col min="14088" max="14088" width="12.28515625" style="313" customWidth="1"/>
    <col min="14089" max="14089" width="1.42578125" style="313" customWidth="1"/>
    <col min="14090" max="14090" width="57.28515625" style="313" customWidth="1"/>
    <col min="14091" max="14334" width="9.140625" style="313"/>
    <col min="14335" max="14335" width="3.85546875" style="313" bestFit="1" customWidth="1"/>
    <col min="14336" max="14336" width="68.7109375" style="313" bestFit="1" customWidth="1"/>
    <col min="14337" max="14337" width="16" style="313" bestFit="1" customWidth="1"/>
    <col min="14338" max="14339" width="11.42578125" style="313" bestFit="1" customWidth="1"/>
    <col min="14340" max="14340" width="11.5703125" style="313" customWidth="1"/>
    <col min="14341" max="14341" width="11.42578125" style="313" bestFit="1" customWidth="1"/>
    <col min="14342" max="14342" width="12.28515625" style="313" customWidth="1"/>
    <col min="14343" max="14343" width="11.42578125" style="313" bestFit="1" customWidth="1"/>
    <col min="14344" max="14344" width="12.28515625" style="313" customWidth="1"/>
    <col min="14345" max="14345" width="1.42578125" style="313" customWidth="1"/>
    <col min="14346" max="14346" width="57.28515625" style="313" customWidth="1"/>
    <col min="14347" max="14590" width="9.140625" style="313"/>
    <col min="14591" max="14591" width="3.85546875" style="313" bestFit="1" customWidth="1"/>
    <col min="14592" max="14592" width="68.7109375" style="313" bestFit="1" customWidth="1"/>
    <col min="14593" max="14593" width="16" style="313" bestFit="1" customWidth="1"/>
    <col min="14594" max="14595" width="11.42578125" style="313" bestFit="1" customWidth="1"/>
    <col min="14596" max="14596" width="11.5703125" style="313" customWidth="1"/>
    <col min="14597" max="14597" width="11.42578125" style="313" bestFit="1" customWidth="1"/>
    <col min="14598" max="14598" width="12.28515625" style="313" customWidth="1"/>
    <col min="14599" max="14599" width="11.42578125" style="313" bestFit="1" customWidth="1"/>
    <col min="14600" max="14600" width="12.28515625" style="313" customWidth="1"/>
    <col min="14601" max="14601" width="1.42578125" style="313" customWidth="1"/>
    <col min="14602" max="14602" width="57.28515625" style="313" customWidth="1"/>
    <col min="14603" max="14846" width="9.140625" style="313"/>
    <col min="14847" max="14847" width="3.85546875" style="313" bestFit="1" customWidth="1"/>
    <col min="14848" max="14848" width="68.7109375" style="313" bestFit="1" customWidth="1"/>
    <col min="14849" max="14849" width="16" style="313" bestFit="1" customWidth="1"/>
    <col min="14850" max="14851" width="11.42578125" style="313" bestFit="1" customWidth="1"/>
    <col min="14852" max="14852" width="11.5703125" style="313" customWidth="1"/>
    <col min="14853" max="14853" width="11.42578125" style="313" bestFit="1" customWidth="1"/>
    <col min="14854" max="14854" width="12.28515625" style="313" customWidth="1"/>
    <col min="14855" max="14855" width="11.42578125" style="313" bestFit="1" customWidth="1"/>
    <col min="14856" max="14856" width="12.28515625" style="313" customWidth="1"/>
    <col min="14857" max="14857" width="1.42578125" style="313" customWidth="1"/>
    <col min="14858" max="14858" width="57.28515625" style="313" customWidth="1"/>
    <col min="14859" max="15102" width="9.140625" style="313"/>
    <col min="15103" max="15103" width="3.85546875" style="313" bestFit="1" customWidth="1"/>
    <col min="15104" max="15104" width="68.7109375" style="313" bestFit="1" customWidth="1"/>
    <col min="15105" max="15105" width="16" style="313" bestFit="1" customWidth="1"/>
    <col min="15106" max="15107" width="11.42578125" style="313" bestFit="1" customWidth="1"/>
    <col min="15108" max="15108" width="11.5703125" style="313" customWidth="1"/>
    <col min="15109" max="15109" width="11.42578125" style="313" bestFit="1" customWidth="1"/>
    <col min="15110" max="15110" width="12.28515625" style="313" customWidth="1"/>
    <col min="15111" max="15111" width="11.42578125" style="313" bestFit="1" customWidth="1"/>
    <col min="15112" max="15112" width="12.28515625" style="313" customWidth="1"/>
    <col min="15113" max="15113" width="1.42578125" style="313" customWidth="1"/>
    <col min="15114" max="15114" width="57.28515625" style="313" customWidth="1"/>
    <col min="15115" max="15358" width="9.140625" style="313"/>
    <col min="15359" max="15359" width="3.85546875" style="313" bestFit="1" customWidth="1"/>
    <col min="15360" max="15360" width="68.7109375" style="313" bestFit="1" customWidth="1"/>
    <col min="15361" max="15361" width="16" style="313" bestFit="1" customWidth="1"/>
    <col min="15362" max="15363" width="11.42578125" style="313" bestFit="1" customWidth="1"/>
    <col min="15364" max="15364" width="11.5703125" style="313" customWidth="1"/>
    <col min="15365" max="15365" width="11.42578125" style="313" bestFit="1" customWidth="1"/>
    <col min="15366" max="15366" width="12.28515625" style="313" customWidth="1"/>
    <col min="15367" max="15367" width="11.42578125" style="313" bestFit="1" customWidth="1"/>
    <col min="15368" max="15368" width="12.28515625" style="313" customWidth="1"/>
    <col min="15369" max="15369" width="1.42578125" style="313" customWidth="1"/>
    <col min="15370" max="15370" width="57.28515625" style="313" customWidth="1"/>
    <col min="15371" max="15614" width="9.140625" style="313"/>
    <col min="15615" max="15615" width="3.85546875" style="313" bestFit="1" customWidth="1"/>
    <col min="15616" max="15616" width="68.7109375" style="313" bestFit="1" customWidth="1"/>
    <col min="15617" max="15617" width="16" style="313" bestFit="1" customWidth="1"/>
    <col min="15618" max="15619" width="11.42578125" style="313" bestFit="1" customWidth="1"/>
    <col min="15620" max="15620" width="11.5703125" style="313" customWidth="1"/>
    <col min="15621" max="15621" width="11.42578125" style="313" bestFit="1" customWidth="1"/>
    <col min="15622" max="15622" width="12.28515625" style="313" customWidth="1"/>
    <col min="15623" max="15623" width="11.42578125" style="313" bestFit="1" customWidth="1"/>
    <col min="15624" max="15624" width="12.28515625" style="313" customWidth="1"/>
    <col min="15625" max="15625" width="1.42578125" style="313" customWidth="1"/>
    <col min="15626" max="15626" width="57.28515625" style="313" customWidth="1"/>
    <col min="15627" max="15870" width="9.140625" style="313"/>
    <col min="15871" max="15871" width="3.85546875" style="313" bestFit="1" customWidth="1"/>
    <col min="15872" max="15872" width="68.7109375" style="313" bestFit="1" customWidth="1"/>
    <col min="15873" max="15873" width="16" style="313" bestFit="1" customWidth="1"/>
    <col min="15874" max="15875" width="11.42578125" style="313" bestFit="1" customWidth="1"/>
    <col min="15876" max="15876" width="11.5703125" style="313" customWidth="1"/>
    <col min="15877" max="15877" width="11.42578125" style="313" bestFit="1" customWidth="1"/>
    <col min="15878" max="15878" width="12.28515625" style="313" customWidth="1"/>
    <col min="15879" max="15879" width="11.42578125" style="313" bestFit="1" customWidth="1"/>
    <col min="15880" max="15880" width="12.28515625" style="313" customWidth="1"/>
    <col min="15881" max="15881" width="1.42578125" style="313" customWidth="1"/>
    <col min="15882" max="15882" width="57.28515625" style="313" customWidth="1"/>
    <col min="15883" max="16126" width="9.140625" style="313"/>
    <col min="16127" max="16127" width="3.85546875" style="313" bestFit="1" customWidth="1"/>
    <col min="16128" max="16128" width="68.7109375" style="313" bestFit="1" customWidth="1"/>
    <col min="16129" max="16129" width="16" style="313" bestFit="1" customWidth="1"/>
    <col min="16130" max="16131" width="11.42578125" style="313" bestFit="1" customWidth="1"/>
    <col min="16132" max="16132" width="11.5703125" style="313" customWidth="1"/>
    <col min="16133" max="16133" width="11.42578125" style="313" bestFit="1" customWidth="1"/>
    <col min="16134" max="16134" width="12.28515625" style="313" customWidth="1"/>
    <col min="16135" max="16135" width="11.42578125" style="313" bestFit="1" customWidth="1"/>
    <col min="16136" max="16136" width="12.28515625" style="313" customWidth="1"/>
    <col min="16137" max="16137" width="1.42578125" style="313" customWidth="1"/>
    <col min="16138" max="16138" width="57.28515625" style="313" customWidth="1"/>
    <col min="16139" max="16384" width="9.140625" style="313"/>
  </cols>
  <sheetData>
    <row r="1" spans="1:10">
      <c r="B1" s="314"/>
      <c r="C1" s="315"/>
      <c r="D1" s="315"/>
      <c r="E1" s="316"/>
      <c r="F1" s="316"/>
      <c r="G1" s="316"/>
      <c r="H1" s="316"/>
      <c r="I1" s="315"/>
      <c r="J1" s="317"/>
    </row>
    <row r="2" spans="1:10" ht="15.75">
      <c r="B2" s="319" t="s">
        <v>197</v>
      </c>
      <c r="C2" s="318"/>
      <c r="D2" s="318"/>
      <c r="E2" s="320"/>
      <c r="F2" s="320"/>
      <c r="G2" s="320"/>
      <c r="H2" s="320"/>
      <c r="I2" s="318"/>
      <c r="J2" s="321"/>
    </row>
    <row r="3" spans="1:10">
      <c r="B3" s="322"/>
      <c r="C3" s="338"/>
      <c r="D3" s="318"/>
      <c r="E3" s="320"/>
      <c r="F3" s="320"/>
      <c r="G3" s="320"/>
      <c r="H3" s="320"/>
      <c r="I3" s="318"/>
      <c r="J3" s="321"/>
    </row>
    <row r="4" spans="1:10" ht="15.75">
      <c r="B4" s="323" t="s">
        <v>198</v>
      </c>
      <c r="C4" s="349">
        <v>32672000</v>
      </c>
      <c r="D4" s="318"/>
      <c r="E4" s="320"/>
      <c r="F4" s="320"/>
      <c r="G4" s="320"/>
      <c r="H4" s="320"/>
      <c r="I4" s="318"/>
      <c r="J4" s="321"/>
    </row>
    <row r="5" spans="1:10" ht="30.75" customHeight="1">
      <c r="B5" s="358" t="s">
        <v>199</v>
      </c>
      <c r="C5" s="359"/>
      <c r="D5" s="359"/>
      <c r="E5" s="359"/>
      <c r="F5" s="325"/>
      <c r="G5" s="325" t="s">
        <v>200</v>
      </c>
      <c r="H5" s="325"/>
      <c r="I5" s="318"/>
      <c r="J5" s="321"/>
    </row>
    <row r="6" spans="1:10" ht="15.75">
      <c r="B6" s="322" t="s">
        <v>201</v>
      </c>
      <c r="C6" s="352">
        <f>C4*D6</f>
        <v>980160</v>
      </c>
      <c r="D6" s="326">
        <v>0.03</v>
      </c>
      <c r="E6" s="320"/>
      <c r="F6" s="320"/>
      <c r="G6" s="353">
        <f>D40</f>
        <v>1095000</v>
      </c>
      <c r="H6" s="328">
        <f>G6/$C$4</f>
        <v>3.3514936336924581E-2</v>
      </c>
      <c r="I6" s="318"/>
      <c r="J6" s="321"/>
    </row>
    <row r="7" spans="1:10" ht="15.75">
      <c r="B7" s="322" t="s">
        <v>202</v>
      </c>
      <c r="C7" s="352">
        <f>C4*D7</f>
        <v>1992992</v>
      </c>
      <c r="D7" s="329">
        <v>6.0999999999999999E-2</v>
      </c>
      <c r="E7" s="320"/>
      <c r="F7" s="320"/>
      <c r="G7" s="353">
        <f>E40</f>
        <v>2195600</v>
      </c>
      <c r="H7" s="329">
        <f>G7/$C$4</f>
        <v>6.7201273261508321E-2</v>
      </c>
      <c r="I7" s="318"/>
      <c r="J7" s="321"/>
    </row>
    <row r="8" spans="1:10" ht="15.75">
      <c r="B8" s="322" t="s">
        <v>203</v>
      </c>
      <c r="C8" s="352">
        <f>C4*D8</f>
        <v>3365216</v>
      </c>
      <c r="D8" s="329">
        <v>0.10299999999999999</v>
      </c>
      <c r="E8" s="320"/>
      <c r="F8" s="320"/>
      <c r="G8" s="353">
        <f>F40</f>
        <v>3464200</v>
      </c>
      <c r="H8" s="329">
        <f>G8/$C$4</f>
        <v>0.10602962781586679</v>
      </c>
      <c r="I8" s="318"/>
      <c r="J8" s="321"/>
    </row>
    <row r="9" spans="1:10">
      <c r="B9" s="322"/>
      <c r="C9" s="318"/>
      <c r="D9" s="318"/>
      <c r="E9" s="320"/>
      <c r="F9" s="320"/>
      <c r="G9" s="320"/>
      <c r="H9" s="320"/>
      <c r="I9" s="318"/>
      <c r="J9" s="321"/>
    </row>
    <row r="10" spans="1:10" ht="31.9" customHeight="1" thickBot="1">
      <c r="B10" s="360" t="s">
        <v>204</v>
      </c>
      <c r="C10" s="361"/>
      <c r="D10" s="361"/>
      <c r="E10" s="361"/>
      <c r="F10" s="361"/>
      <c r="G10" s="361"/>
      <c r="H10" s="361"/>
      <c r="I10" s="318"/>
      <c r="J10" s="321"/>
    </row>
    <row r="11" spans="1:10">
      <c r="B11" s="314"/>
      <c r="C11" s="315"/>
      <c r="D11" s="315"/>
      <c r="E11" s="316"/>
      <c r="F11" s="316"/>
      <c r="G11" s="316"/>
      <c r="H11" s="316"/>
      <c r="I11" s="315"/>
      <c r="J11" s="317"/>
    </row>
    <row r="12" spans="1:10" ht="63">
      <c r="A12" s="318"/>
      <c r="B12" s="339" t="s">
        <v>205</v>
      </c>
      <c r="C12" s="331" t="s">
        <v>206</v>
      </c>
      <c r="D12" s="332" t="s">
        <v>290</v>
      </c>
      <c r="E12" s="333" t="s">
        <v>207</v>
      </c>
      <c r="F12" s="333" t="s">
        <v>208</v>
      </c>
      <c r="G12" s="333" t="s">
        <v>370</v>
      </c>
      <c r="H12" s="333" t="s">
        <v>372</v>
      </c>
      <c r="I12" s="318"/>
      <c r="J12" s="340" t="s">
        <v>209</v>
      </c>
    </row>
    <row r="13" spans="1:10" ht="15.75">
      <c r="B13" s="323"/>
      <c r="C13" s="318"/>
      <c r="D13" s="350" t="s">
        <v>5</v>
      </c>
      <c r="E13" s="351" t="s">
        <v>5</v>
      </c>
      <c r="F13" s="351" t="s">
        <v>5</v>
      </c>
      <c r="G13" s="351" t="s">
        <v>5</v>
      </c>
      <c r="H13" s="351" t="s">
        <v>5</v>
      </c>
      <c r="I13" s="318"/>
      <c r="J13" s="321"/>
    </row>
    <row r="14" spans="1:10">
      <c r="B14" s="343" t="s">
        <v>27</v>
      </c>
      <c r="C14" s="318" t="s">
        <v>210</v>
      </c>
      <c r="D14" s="324">
        <v>35000</v>
      </c>
      <c r="E14" s="327">
        <v>35000</v>
      </c>
      <c r="F14" s="327">
        <v>35000</v>
      </c>
      <c r="G14" s="327">
        <f>F14/12*6</f>
        <v>17500</v>
      </c>
      <c r="H14" s="327">
        <v>17500</v>
      </c>
      <c r="I14" s="318"/>
      <c r="J14" s="321" t="s">
        <v>50</v>
      </c>
    </row>
    <row r="15" spans="1:10">
      <c r="B15" s="343" t="s">
        <v>51</v>
      </c>
      <c r="C15" s="318" t="s">
        <v>210</v>
      </c>
      <c r="D15" s="324">
        <v>23000</v>
      </c>
      <c r="E15" s="327">
        <v>46000</v>
      </c>
      <c r="F15" s="327">
        <v>43000</v>
      </c>
      <c r="G15" s="327">
        <f t="shared" ref="G15:G23" si="0">F15/12*6</f>
        <v>21500</v>
      </c>
      <c r="H15" s="327">
        <v>21500</v>
      </c>
      <c r="I15" s="318"/>
      <c r="J15" s="321" t="s">
        <v>211</v>
      </c>
    </row>
    <row r="16" spans="1:10" ht="30">
      <c r="B16" s="343" t="s">
        <v>212</v>
      </c>
      <c r="C16" s="318" t="s">
        <v>210</v>
      </c>
      <c r="D16" s="324">
        <v>37000</v>
      </c>
      <c r="E16" s="327">
        <v>57000</v>
      </c>
      <c r="F16" s="327">
        <v>28000</v>
      </c>
      <c r="G16" s="327">
        <f t="shared" si="0"/>
        <v>14000</v>
      </c>
      <c r="H16" s="327">
        <v>14000</v>
      </c>
      <c r="I16" s="318"/>
      <c r="J16" s="341" t="s">
        <v>213</v>
      </c>
    </row>
    <row r="17" spans="1:10" ht="30">
      <c r="B17" s="343" t="s">
        <v>52</v>
      </c>
      <c r="C17" s="318" t="s">
        <v>210</v>
      </c>
      <c r="D17" s="324">
        <v>0</v>
      </c>
      <c r="E17" s="327">
        <v>0</v>
      </c>
      <c r="F17" s="327">
        <v>0</v>
      </c>
      <c r="G17" s="327">
        <f t="shared" si="0"/>
        <v>0</v>
      </c>
      <c r="H17" s="327">
        <v>0</v>
      </c>
      <c r="I17" s="318"/>
      <c r="J17" s="341" t="s">
        <v>291</v>
      </c>
    </row>
    <row r="18" spans="1:10">
      <c r="B18" s="343" t="s">
        <v>55</v>
      </c>
      <c r="C18" s="318" t="s">
        <v>210</v>
      </c>
      <c r="D18" s="324">
        <v>15000</v>
      </c>
      <c r="E18" s="327">
        <v>29000</v>
      </c>
      <c r="F18" s="327">
        <v>20000</v>
      </c>
      <c r="G18" s="327">
        <f t="shared" si="0"/>
        <v>10000</v>
      </c>
      <c r="H18" s="327">
        <v>10000</v>
      </c>
      <c r="I18" s="318"/>
      <c r="J18" s="341" t="s">
        <v>56</v>
      </c>
    </row>
    <row r="19" spans="1:10" ht="30">
      <c r="B19" s="343" t="s">
        <v>214</v>
      </c>
      <c r="C19" s="318" t="s">
        <v>210</v>
      </c>
      <c r="D19" s="324">
        <v>0</v>
      </c>
      <c r="E19" s="327">
        <v>0</v>
      </c>
      <c r="F19" s="327">
        <v>1500</v>
      </c>
      <c r="G19" s="327">
        <f t="shared" si="0"/>
        <v>750</v>
      </c>
      <c r="H19" s="327">
        <v>750</v>
      </c>
      <c r="I19" s="318"/>
      <c r="J19" s="341" t="s">
        <v>215</v>
      </c>
    </row>
    <row r="20" spans="1:10">
      <c r="B20" s="343" t="s">
        <v>57</v>
      </c>
      <c r="C20" s="318" t="s">
        <v>210</v>
      </c>
      <c r="D20" s="324">
        <v>0</v>
      </c>
      <c r="E20" s="327">
        <v>0</v>
      </c>
      <c r="F20" s="327">
        <v>11000</v>
      </c>
      <c r="G20" s="327">
        <f t="shared" si="0"/>
        <v>5500</v>
      </c>
      <c r="H20" s="327">
        <v>0</v>
      </c>
      <c r="I20" s="318"/>
      <c r="J20" s="321" t="s">
        <v>58</v>
      </c>
    </row>
    <row r="21" spans="1:10" ht="30">
      <c r="B21" s="343" t="s">
        <v>59</v>
      </c>
      <c r="C21" s="318" t="s">
        <v>210</v>
      </c>
      <c r="D21" s="324">
        <v>0</v>
      </c>
      <c r="E21" s="327">
        <v>0</v>
      </c>
      <c r="F21" s="327">
        <v>0</v>
      </c>
      <c r="G21" s="327">
        <f t="shared" si="0"/>
        <v>0</v>
      </c>
      <c r="H21" s="327">
        <v>0</v>
      </c>
      <c r="I21" s="318"/>
      <c r="J21" s="341" t="s">
        <v>292</v>
      </c>
    </row>
    <row r="22" spans="1:10">
      <c r="B22" s="343" t="s">
        <v>47</v>
      </c>
      <c r="C22" s="318" t="s">
        <v>210</v>
      </c>
      <c r="D22" s="324">
        <v>0</v>
      </c>
      <c r="E22" s="327">
        <v>3000</v>
      </c>
      <c r="F22" s="327">
        <v>75000</v>
      </c>
      <c r="G22" s="327">
        <f t="shared" si="0"/>
        <v>37500</v>
      </c>
      <c r="H22" s="327">
        <v>37500</v>
      </c>
      <c r="I22" s="318"/>
      <c r="J22" s="321" t="s">
        <v>60</v>
      </c>
    </row>
    <row r="23" spans="1:10">
      <c r="A23" s="313" t="s">
        <v>371</v>
      </c>
      <c r="B23" s="343" t="s">
        <v>216</v>
      </c>
      <c r="C23" s="318" t="s">
        <v>210</v>
      </c>
      <c r="D23" s="324">
        <v>100000</v>
      </c>
      <c r="E23" s="327">
        <v>100000</v>
      </c>
      <c r="F23" s="327">
        <v>100000</v>
      </c>
      <c r="G23" s="327">
        <f t="shared" si="0"/>
        <v>50000</v>
      </c>
      <c r="H23" s="327">
        <v>50000</v>
      </c>
      <c r="I23" s="318"/>
      <c r="J23" s="341" t="s">
        <v>217</v>
      </c>
    </row>
    <row r="24" spans="1:10">
      <c r="B24" s="343"/>
      <c r="C24" s="318"/>
      <c r="D24" s="324"/>
      <c r="E24" s="327"/>
      <c r="F24" s="327"/>
      <c r="G24" s="327"/>
      <c r="H24" s="327"/>
      <c r="I24" s="318"/>
      <c r="J24" s="341"/>
    </row>
    <row r="25" spans="1:10" ht="15.75">
      <c r="B25" s="354" t="s">
        <v>218</v>
      </c>
      <c r="C25" s="318"/>
      <c r="D25" s="334">
        <f>SUM(D14:D24)</f>
        <v>210000</v>
      </c>
      <c r="E25" s="334">
        <f>SUM(E14:E24)</f>
        <v>270000</v>
      </c>
      <c r="F25" s="334">
        <f>SUM(F14:F24)</f>
        <v>313500</v>
      </c>
      <c r="G25" s="334">
        <f>SUM(G14:G24)</f>
        <v>156750</v>
      </c>
      <c r="H25" s="334">
        <f>SUM(H14:H24)</f>
        <v>151250</v>
      </c>
      <c r="I25" s="318"/>
      <c r="J25" s="341"/>
    </row>
    <row r="26" spans="1:10" ht="4.9000000000000004" customHeight="1">
      <c r="B26" s="343"/>
      <c r="C26" s="318"/>
      <c r="D26" s="324"/>
      <c r="E26" s="327"/>
      <c r="F26" s="327"/>
      <c r="G26" s="327"/>
      <c r="H26" s="327"/>
      <c r="I26" s="318"/>
      <c r="J26" s="341"/>
    </row>
    <row r="27" spans="1:10" ht="45">
      <c r="B27" s="343" t="s">
        <v>49</v>
      </c>
      <c r="C27" s="318" t="s">
        <v>210</v>
      </c>
      <c r="D27" s="324">
        <v>25000</v>
      </c>
      <c r="E27" s="327">
        <v>25000</v>
      </c>
      <c r="F27" s="327">
        <v>0</v>
      </c>
      <c r="G27" s="327">
        <f>F27/12*6</f>
        <v>0</v>
      </c>
      <c r="H27" s="327">
        <v>6250</v>
      </c>
      <c r="I27" s="318"/>
      <c r="J27" s="341" t="s">
        <v>293</v>
      </c>
    </row>
    <row r="28" spans="1:10" ht="30">
      <c r="A28" s="348">
        <v>6</v>
      </c>
      <c r="B28" s="343" t="s">
        <v>219</v>
      </c>
      <c r="C28" s="318" t="s">
        <v>210</v>
      </c>
      <c r="D28" s="324">
        <v>0</v>
      </c>
      <c r="E28" s="327">
        <v>0</v>
      </c>
      <c r="F28" s="327">
        <v>42000</v>
      </c>
      <c r="G28" s="327">
        <f t="shared" ref="G28:G36" si="1">F28/12*6</f>
        <v>21000</v>
      </c>
      <c r="H28" s="327">
        <v>0</v>
      </c>
      <c r="I28" s="318"/>
      <c r="J28" s="341" t="s">
        <v>294</v>
      </c>
    </row>
    <row r="29" spans="1:10">
      <c r="B29" s="343" t="s">
        <v>61</v>
      </c>
      <c r="C29" s="318" t="s">
        <v>210</v>
      </c>
      <c r="D29" s="324">
        <v>0</v>
      </c>
      <c r="E29" s="327">
        <v>163000</v>
      </c>
      <c r="F29" s="327">
        <v>0</v>
      </c>
      <c r="G29" s="327">
        <f t="shared" si="1"/>
        <v>0</v>
      </c>
      <c r="H29" s="327">
        <v>0</v>
      </c>
      <c r="I29" s="318"/>
      <c r="J29" s="321" t="s">
        <v>60</v>
      </c>
    </row>
    <row r="30" spans="1:10">
      <c r="B30" s="343" t="s">
        <v>53</v>
      </c>
      <c r="C30" s="318" t="s">
        <v>220</v>
      </c>
      <c r="D30" s="324">
        <v>206000</v>
      </c>
      <c r="E30" s="327">
        <v>245000</v>
      </c>
      <c r="F30" s="327">
        <v>245000</v>
      </c>
      <c r="G30" s="327">
        <f t="shared" si="1"/>
        <v>122500</v>
      </c>
      <c r="H30" s="327">
        <v>122500</v>
      </c>
      <c r="I30" s="318"/>
      <c r="J30" s="321" t="s">
        <v>54</v>
      </c>
    </row>
    <row r="31" spans="1:10">
      <c r="B31" s="343" t="s">
        <v>221</v>
      </c>
      <c r="C31" s="318" t="s">
        <v>220</v>
      </c>
      <c r="D31" s="324">
        <v>2000</v>
      </c>
      <c r="E31" s="327">
        <v>0</v>
      </c>
      <c r="F31" s="327">
        <v>0</v>
      </c>
      <c r="G31" s="327">
        <f t="shared" si="1"/>
        <v>0</v>
      </c>
      <c r="H31" s="327">
        <v>0</v>
      </c>
      <c r="I31" s="318"/>
      <c r="J31" s="321" t="s">
        <v>222</v>
      </c>
    </row>
    <row r="32" spans="1:10">
      <c r="B32" s="343" t="s">
        <v>223</v>
      </c>
      <c r="C32" s="318" t="s">
        <v>220</v>
      </c>
      <c r="D32" s="324">
        <v>0</v>
      </c>
      <c r="E32" s="327">
        <v>0</v>
      </c>
      <c r="F32" s="327">
        <v>503000</v>
      </c>
      <c r="G32" s="327">
        <f t="shared" si="1"/>
        <v>251500</v>
      </c>
      <c r="H32" s="327">
        <v>251500</v>
      </c>
      <c r="I32" s="318"/>
      <c r="J32" s="321" t="s">
        <v>295</v>
      </c>
    </row>
    <row r="33" spans="1:10">
      <c r="A33" s="318"/>
      <c r="B33" s="343" t="s">
        <v>224</v>
      </c>
      <c r="C33" s="318" t="s">
        <v>220</v>
      </c>
      <c r="D33" s="324">
        <v>499000</v>
      </c>
      <c r="E33" s="327">
        <v>785600</v>
      </c>
      <c r="F33" s="327">
        <v>544200</v>
      </c>
      <c r="G33" s="327">
        <v>272100</v>
      </c>
      <c r="H33" s="327">
        <v>268000</v>
      </c>
      <c r="I33" s="318"/>
      <c r="J33" s="321" t="s">
        <v>225</v>
      </c>
    </row>
    <row r="34" spans="1:10">
      <c r="A34" s="318"/>
      <c r="B34" s="343"/>
      <c r="C34" s="318"/>
      <c r="D34" s="324"/>
      <c r="E34" s="327"/>
      <c r="F34" s="327"/>
      <c r="G34" s="327"/>
      <c r="H34" s="327"/>
      <c r="I34" s="318"/>
      <c r="J34" s="321"/>
    </row>
    <row r="35" spans="1:10">
      <c r="A35" s="318"/>
      <c r="B35" s="343" t="s">
        <v>226</v>
      </c>
      <c r="C35" s="318" t="s">
        <v>230</v>
      </c>
      <c r="D35" s="324">
        <v>153000</v>
      </c>
      <c r="E35" s="327">
        <v>402000</v>
      </c>
      <c r="F35" s="327">
        <v>440000</v>
      </c>
      <c r="G35" s="327">
        <f t="shared" si="1"/>
        <v>220000</v>
      </c>
      <c r="H35" s="327">
        <v>260800</v>
      </c>
      <c r="I35" s="318"/>
      <c r="J35" s="342" t="s">
        <v>227</v>
      </c>
    </row>
    <row r="36" spans="1:10" ht="32.25" customHeight="1">
      <c r="A36" s="318"/>
      <c r="B36" s="355" t="s">
        <v>296</v>
      </c>
      <c r="C36" s="318" t="s">
        <v>230</v>
      </c>
      <c r="D36" s="324">
        <v>0</v>
      </c>
      <c r="E36" s="327">
        <v>305000</v>
      </c>
      <c r="F36" s="327">
        <v>1376500</v>
      </c>
      <c r="G36" s="327">
        <f t="shared" si="1"/>
        <v>688250</v>
      </c>
      <c r="H36" s="327">
        <v>692000</v>
      </c>
      <c r="I36" s="318"/>
      <c r="J36" s="341" t="s">
        <v>228</v>
      </c>
    </row>
    <row r="37" spans="1:10">
      <c r="A37" s="318"/>
      <c r="B37" s="343"/>
      <c r="C37" s="318"/>
      <c r="D37" s="324"/>
      <c r="E37" s="327"/>
      <c r="F37" s="327"/>
      <c r="G37" s="327"/>
      <c r="H37" s="327"/>
      <c r="I37" s="318"/>
      <c r="J37" s="342"/>
    </row>
    <row r="38" spans="1:10" ht="15.75">
      <c r="A38" s="318"/>
      <c r="B38" s="354" t="s">
        <v>218</v>
      </c>
      <c r="C38" s="318"/>
      <c r="D38" s="334">
        <f>SUM(D27:D37)</f>
        <v>885000</v>
      </c>
      <c r="E38" s="334">
        <f>SUM(E27:E37)</f>
        <v>1925600</v>
      </c>
      <c r="F38" s="334">
        <f>SUM(F27:F37)</f>
        <v>3150700</v>
      </c>
      <c r="G38" s="334">
        <f>SUM(G27:G37)</f>
        <v>1575350</v>
      </c>
      <c r="H38" s="334">
        <f>SUM(H27:H37)</f>
        <v>1601050</v>
      </c>
      <c r="I38" s="318"/>
      <c r="J38" s="342"/>
    </row>
    <row r="39" spans="1:10" ht="7.15" customHeight="1">
      <c r="A39" s="324"/>
      <c r="B39" s="343"/>
      <c r="C39" s="318"/>
      <c r="D39" s="324"/>
      <c r="E39" s="320"/>
      <c r="F39" s="327"/>
      <c r="G39" s="327"/>
      <c r="H39" s="327"/>
      <c r="I39" s="318"/>
      <c r="J39" s="321"/>
    </row>
    <row r="40" spans="1:10" ht="16.5" thickBot="1">
      <c r="A40" s="318"/>
      <c r="B40" s="344" t="s">
        <v>229</v>
      </c>
      <c r="C40" s="318"/>
      <c r="D40" s="335">
        <f>SUM(D25+D38)</f>
        <v>1095000</v>
      </c>
      <c r="E40" s="335">
        <f>SUM(E25+E38)</f>
        <v>2195600</v>
      </c>
      <c r="F40" s="335">
        <f>SUM(F25+F38)</f>
        <v>3464200</v>
      </c>
      <c r="G40" s="335">
        <f>SUM(G25+G38)</f>
        <v>1732100</v>
      </c>
      <c r="H40" s="335">
        <f>SUM(H25+H38)</f>
        <v>1752300</v>
      </c>
      <c r="I40" s="318"/>
      <c r="J40" s="341"/>
    </row>
    <row r="41" spans="1:10" ht="16.5" thickBot="1">
      <c r="A41" s="318"/>
      <c r="B41" s="345"/>
      <c r="C41" s="330"/>
      <c r="D41" s="346"/>
      <c r="E41" s="346"/>
      <c r="F41" s="346"/>
      <c r="G41" s="346"/>
      <c r="H41" s="346"/>
      <c r="I41" s="330"/>
      <c r="J41" s="347"/>
    </row>
    <row r="42" spans="1:10" ht="6" customHeight="1"/>
    <row r="43" spans="1:10" ht="15.75">
      <c r="B43" s="337" t="s">
        <v>297</v>
      </c>
    </row>
  </sheetData>
  <mergeCells count="2">
    <mergeCell ref="B5:E5"/>
    <mergeCell ref="B10:H10"/>
  </mergeCells>
  <pageMargins left="0.35433070866141736" right="0" top="0.47244094488188981" bottom="0.47244094488188981" header="0.31496062992125984" footer="0.31496062992125984"/>
  <pageSetup paperSize="9" scale="65" orientation="landscape" r:id="rId1"/>
  <headerFooter>
    <oddFooter>&amp;C&amp;"Arial,Bold"&amp;12&amp;A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11</vt:lpstr>
      <vt:lpstr>DCE SD A2</vt:lpstr>
      <vt:lpstr>12</vt:lpstr>
      <vt:lpstr>13</vt:lpstr>
      <vt:lpstr>SD A5</vt:lpstr>
      <vt:lpstr>14</vt:lpstr>
      <vt:lpstr>15</vt:lpstr>
      <vt:lpstr>16</vt:lpstr>
      <vt:lpstr>Appendix B</vt:lpstr>
      <vt:lpstr>cfwds</vt:lpstr>
      <vt:lpstr>totals</vt:lpstr>
      <vt:lpstr>cfwds!Print_Area</vt:lpstr>
    </vt:vector>
  </TitlesOfParts>
  <Company>Carlisle City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BBC NEWS | England | Manchester | Man Utd fans given Rome warning</dc:title>
  <dc:creator>JackieGr</dc:creator>
  <cp:lastModifiedBy>RachelR</cp:lastModifiedBy>
  <cp:lastPrinted>2010-11-12T10:48:26Z</cp:lastPrinted>
  <dcterms:created xsi:type="dcterms:W3CDTF">2004-06-24T11:16:49Z</dcterms:created>
  <dcterms:modified xsi:type="dcterms:W3CDTF">2010-11-12T10:48:57Z</dcterms:modified>
</cp:coreProperties>
</file>