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firstSheet="1" activeTab="1"/>
  </bookViews>
  <sheets>
    <sheet name="Full list" sheetId="1" state="hidden" r:id="rId1"/>
    <sheet name="Actual savings to date" sheetId="2" r:id="rId2"/>
  </sheets>
  <definedNames>
    <definedName name="_xlnm._FilterDatabase" localSheetId="0" hidden="1">'Full list'!$A$28:$Z$127</definedName>
    <definedName name="_xlnm.Print_Area" localSheetId="0">'Full list'!$C$1:$Y$136</definedName>
    <definedName name="_xlnm.Print_Titles" localSheetId="0">'Full list'!$28:$28</definedName>
  </definedNames>
  <calcPr fullCalcOnLoad="1"/>
</workbook>
</file>

<file path=xl/comments1.xml><?xml version="1.0" encoding="utf-8"?>
<comments xmlns="http://schemas.openxmlformats.org/spreadsheetml/2006/main">
  <authors>
    <author>JackieGr</author>
    <author>emmag</author>
  </authors>
  <commentList>
    <comment ref="C89" authorId="0">
      <text>
        <r>
          <rPr>
            <b/>
            <sz val="12"/>
            <rFont val="Tahoma"/>
            <family val="2"/>
          </rPr>
          <t>No form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12"/>
            <rFont val="Tahoma"/>
            <family val="2"/>
          </rPr>
          <t>No form</t>
        </r>
        <r>
          <rPr>
            <sz val="8"/>
            <rFont val="Tahoma"/>
            <family val="0"/>
          </rPr>
          <t xml:space="preserve">
</t>
        </r>
      </text>
    </comment>
    <comment ref="N140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previously recorded as 1.00 instead of -1.00</t>
        </r>
      </text>
    </comment>
    <comment ref="K141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no figures previously input.  Cost of recruiting additional member of staff is £28,300 but netted off against flexible retirement savings</t>
        </r>
      </text>
    </comment>
    <comment ref="T41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Vacancy Management and Flexible Retirement combination</t>
        </r>
      </text>
    </comment>
    <comment ref="U141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saving due to restructure</t>
        </r>
      </text>
    </comment>
    <comment ref="O143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recorded incorrectly under external funding previously</t>
        </r>
      </text>
    </comment>
    <comment ref="L144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VM covers 1 post at 37 hours and 1 post at 35 hrs; previously recorded as 1</t>
        </r>
      </text>
    </comment>
    <comment ref="K144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previously shown as full budget.
Reduced to only show budget remaining after 2 FT employees returns from maternity PT.</t>
        </r>
      </text>
    </comment>
    <comment ref="N142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previously recorded as 2 @ 15hrs per wk; should have been 2 @ 30 hrs per wk</t>
        </r>
      </text>
    </comment>
    <comment ref="J143" authorId="1">
      <text>
        <r>
          <rPr>
            <b/>
            <sz val="10"/>
            <rFont val="Tahoma"/>
            <family val="2"/>
          </rPr>
          <t>emmag:</t>
        </r>
        <r>
          <rPr>
            <sz val="10"/>
            <rFont val="Tahoma"/>
            <family val="2"/>
          </rPr>
          <t xml:space="preserve">
not a VM case - Staffing Forum case instead</t>
        </r>
      </text>
    </comment>
    <comment ref="L150" authorId="1">
      <text>
        <r>
          <rPr>
            <b/>
            <sz val="8"/>
            <rFont val="Tahoma"/>
            <family val="0"/>
          </rPr>
          <t>emmag:</t>
        </r>
        <r>
          <rPr>
            <sz val="8"/>
            <rFont val="Tahoma"/>
            <family val="0"/>
          </rPr>
          <t xml:space="preserve">
aletered from c/f to account for the inc in hrs from 20 to 37 ie 17 hrs.
</t>
        </r>
      </text>
    </comment>
    <comment ref="O150" authorId="1">
      <text>
        <r>
          <rPr>
            <b/>
            <sz val="8"/>
            <rFont val="Tahoma"/>
            <family val="0"/>
          </rPr>
          <t xml:space="preserve">emmag:
</t>
        </r>
        <r>
          <rPr>
            <sz val="8"/>
            <rFont val="Tahoma"/>
            <family val="2"/>
          </rPr>
          <t>increase in hrs to be funded by c/fwd until funding runs out.</t>
        </r>
      </text>
    </comment>
  </commentList>
</comments>
</file>

<file path=xl/sharedStrings.xml><?xml version="1.0" encoding="utf-8"?>
<sst xmlns="http://schemas.openxmlformats.org/spreadsheetml/2006/main" count="1195" uniqueCount="476">
  <si>
    <t>Civil Enforcement Officer (3 Posts)</t>
  </si>
  <si>
    <t>Helen Dinwoodie</t>
  </si>
  <si>
    <t>Parking</t>
  </si>
  <si>
    <t>Benefits Services</t>
  </si>
  <si>
    <t>Revenues Officer</t>
  </si>
  <si>
    <t>Peter Mason</t>
  </si>
  <si>
    <t>Yes</t>
  </si>
  <si>
    <t>Senior Committee Clerk</t>
  </si>
  <si>
    <t>Ian Dixon</t>
  </si>
  <si>
    <t>Democratic Services</t>
  </si>
  <si>
    <t>Part Time Temporary Youth Worker</t>
  </si>
  <si>
    <t>Community Support</t>
  </si>
  <si>
    <t>Rob Burns</t>
  </si>
  <si>
    <t>Security Attendant/Porter</t>
  </si>
  <si>
    <t>David Kay</t>
  </si>
  <si>
    <t>Facilities</t>
  </si>
  <si>
    <t>Hilary Wade</t>
  </si>
  <si>
    <t>Community and Culture</t>
  </si>
  <si>
    <t>PWS Implementation Officer</t>
  </si>
  <si>
    <t>Carolyn Mitchell</t>
  </si>
  <si>
    <t>PPP</t>
  </si>
  <si>
    <t>Policy and Performance</t>
  </si>
  <si>
    <t>Community Safety Development Officer</t>
  </si>
  <si>
    <t>Carolyn Curr</t>
  </si>
  <si>
    <t>Project Manager (Local Area Agreement)</t>
  </si>
  <si>
    <t>Planning and Housing Services</t>
  </si>
  <si>
    <t>Allan Dickson</t>
  </si>
  <si>
    <t>Cleaner</t>
  </si>
  <si>
    <t>Olive Jenkins</t>
  </si>
  <si>
    <t>Building and Facilities</t>
  </si>
  <si>
    <t>Willie McCreadie</t>
  </si>
  <si>
    <t>Environmental Services</t>
  </si>
  <si>
    <t>Ruth Harland</t>
  </si>
  <si>
    <t>Job Title</t>
  </si>
  <si>
    <t>Contact Manager</t>
  </si>
  <si>
    <t>Service</t>
  </si>
  <si>
    <t>Directorate</t>
  </si>
  <si>
    <t>Case No.</t>
  </si>
  <si>
    <t>Comments</t>
  </si>
  <si>
    <t>LDS</t>
  </si>
  <si>
    <t>Code</t>
  </si>
  <si>
    <t>N/A</t>
  </si>
  <si>
    <t>Revenues (C Tax)</t>
  </si>
  <si>
    <t>Mike Gardner</t>
  </si>
  <si>
    <t>New Post</t>
  </si>
  <si>
    <t>No</t>
  </si>
  <si>
    <t>Funding of £70,000 available from LAA grant (via County Council).</t>
  </si>
  <si>
    <t>32030/ 50/60</t>
  </si>
  <si>
    <t>Funding approved in Council Resolution for three years (2008/09 to 2010/11).</t>
  </si>
  <si>
    <t>Scrutiny Officer (Part time 0.8 FTE)</t>
  </si>
  <si>
    <t>David Taylor</t>
  </si>
  <si>
    <t>Policy &amp; Performance</t>
  </si>
  <si>
    <t>Scanner/technical clerk</t>
  </si>
  <si>
    <t>District Health and Safety Officer</t>
  </si>
  <si>
    <t>Family Learning Interactor</t>
  </si>
  <si>
    <t>Julie Wooding</t>
  </si>
  <si>
    <t>Arts &amp; Museums</t>
  </si>
  <si>
    <t>Benefits Assessment Officer</t>
  </si>
  <si>
    <t>Casual waiter/waitress</t>
  </si>
  <si>
    <t>Talkin Tarn</t>
  </si>
  <si>
    <t>Asset Development Surveyor</t>
  </si>
  <si>
    <t>David Beaty</t>
  </si>
  <si>
    <t>Property Services</t>
  </si>
  <si>
    <t>Refuse Collection Loader</t>
  </si>
  <si>
    <t>Waste Services</t>
  </si>
  <si>
    <t>Estate Management Surveyor</t>
  </si>
  <si>
    <t>Mike Swindlehurst</t>
  </si>
  <si>
    <t>David Williams</t>
  </si>
  <si>
    <t>Personnel &amp; Development</t>
  </si>
  <si>
    <t>Ec Dev, Property &amp; Tourism</t>
  </si>
  <si>
    <t>VM26-08</t>
  </si>
  <si>
    <t>Clerical Assistant (Sc 3)</t>
  </si>
  <si>
    <t>Planning Assistant (Bursary)</t>
  </si>
  <si>
    <t>Fiona Shipp</t>
  </si>
  <si>
    <t>Alan Eales</t>
  </si>
  <si>
    <t>Elaine Turner</t>
  </si>
  <si>
    <t xml:space="preserve">Date Received </t>
  </si>
  <si>
    <t>SMT Review Date</t>
  </si>
  <si>
    <t>External Funding element</t>
  </si>
  <si>
    <t xml:space="preserve">Saving approved by SMT </t>
  </si>
  <si>
    <t>Net cost to/budget of Council</t>
  </si>
  <si>
    <t>Vacancy Date</t>
  </si>
  <si>
    <t>SMT Decision</t>
  </si>
  <si>
    <t>Ledger Adj.</t>
  </si>
  <si>
    <t>Virement Ref.</t>
  </si>
  <si>
    <t>Existing/ New Budget</t>
  </si>
  <si>
    <t>01/05/08</t>
  </si>
  <si>
    <t>01/02/08</t>
  </si>
  <si>
    <t>01/03/08</t>
  </si>
  <si>
    <t>Deleted  part time secretarial and full time admin. posts and increased existing Cmttee Clerks post hours.</t>
  </si>
  <si>
    <t>Fails to meet target</t>
  </si>
  <si>
    <t>Significantly meets target</t>
  </si>
  <si>
    <t xml:space="preserve">Colour code key: </t>
  </si>
  <si>
    <t xml:space="preserve">Form not received by FS </t>
  </si>
  <si>
    <t>No savings proposals put forward.</t>
  </si>
  <si>
    <t>Not sent to Finance as yet.</t>
  </si>
  <si>
    <t xml:space="preserve">Summary Position </t>
  </si>
  <si>
    <t>Corp S</t>
  </si>
  <si>
    <t>Comm S</t>
  </si>
  <si>
    <t>Dev S</t>
  </si>
  <si>
    <t>CorpS</t>
  </si>
  <si>
    <t>2 x Face2Face Co-ordinators</t>
  </si>
  <si>
    <t>3 x Casual Tourist Information Assts</t>
  </si>
  <si>
    <t>01/04/08</t>
  </si>
  <si>
    <t>VM28-08</t>
  </si>
  <si>
    <t>Brian Blackburn</t>
  </si>
  <si>
    <t>Customer Services</t>
  </si>
  <si>
    <t>2 x P/T Customer Services Advisors (1.00 FTE)</t>
  </si>
  <si>
    <t>Date  of implementation</t>
  </si>
  <si>
    <t>VM27-08</t>
  </si>
  <si>
    <t>VM29-08</t>
  </si>
  <si>
    <t>VM30-08</t>
  </si>
  <si>
    <t>VM32-08</t>
  </si>
  <si>
    <t>VM31-08</t>
  </si>
  <si>
    <t>Two new posts agreed</t>
  </si>
  <si>
    <t>Agreed to recruit</t>
  </si>
  <si>
    <t>Concessionary Fares temp</t>
  </si>
  <si>
    <t xml:space="preserve">Revenues </t>
  </si>
  <si>
    <t>Emergency appointment of casual for 3 months funded from grant income.</t>
  </si>
  <si>
    <t>Summer Playscheme workers</t>
  </si>
  <si>
    <t>10 casual post for 5 weeks, funded from base and grants from County &amp; CHA</t>
  </si>
  <si>
    <t>Deleted</t>
  </si>
  <si>
    <t>VM33-08</t>
  </si>
  <si>
    <t>VM34-08</t>
  </si>
  <si>
    <t>VM35-08</t>
  </si>
  <si>
    <t>VM36-08</t>
  </si>
  <si>
    <t>Support &amp; Resettlement Worker</t>
  </si>
  <si>
    <t>Simon Taylor</t>
  </si>
  <si>
    <t>Housing</t>
  </si>
  <si>
    <t>VM37-08</t>
  </si>
  <si>
    <t>VM38-08</t>
  </si>
  <si>
    <t>VM39-08</t>
  </si>
  <si>
    <t>VM40-08</t>
  </si>
  <si>
    <t>Policy Team Admin Asst</t>
  </si>
  <si>
    <t>Post deleted 25/03/08 - Saving of £38,000</t>
  </si>
  <si>
    <t>Mini restructure of section &amp; allocation of workload</t>
  </si>
  <si>
    <t>Talkin Tarn cook</t>
  </si>
  <si>
    <t>Mike Battersby</t>
  </si>
  <si>
    <t>Community Services agreed to pick up job costing and timesheet inputting</t>
  </si>
  <si>
    <t>Not part of target</t>
  </si>
  <si>
    <t>Approved by J Gooding under emergency terms. No savings proposed.</t>
  </si>
  <si>
    <t>Target (Surplus) or Shortfall</t>
  </si>
  <si>
    <t>1VIR 1200</t>
  </si>
  <si>
    <t>Loss of trainee Customer Services Asst and replacement of Revenues Officer by trainee post</t>
  </si>
  <si>
    <t>1VIR 1203</t>
  </si>
  <si>
    <t>SMT rejected proposals 25/03/08. Requested case be resubmitted 8/4/08.</t>
  </si>
  <si>
    <t>Post withdrawn by Hilary Wade.</t>
  </si>
  <si>
    <t>Part Time Temp Admin Asst</t>
  </si>
  <si>
    <t>Replaced by VM47-08</t>
  </si>
  <si>
    <t>P/T Operational Support Asst</t>
  </si>
  <si>
    <t>1VIR 1206</t>
  </si>
  <si>
    <t>1VIR 1177</t>
  </si>
  <si>
    <t>Funded from PDG and increases in income.  Post filled 2 yr fixed term .</t>
  </si>
  <si>
    <t>Externally funded. Recruited on 3yr fixed term contract.</t>
  </si>
  <si>
    <t>Post funded mainly from capital schemes.  18 mth fixed term contract.</t>
  </si>
  <si>
    <t>Return to Work Carlisle Project Coordinator</t>
  </si>
  <si>
    <t>Economic Development</t>
  </si>
  <si>
    <t>Externally funded by grant from County Council.</t>
  </si>
  <si>
    <t>Technical Officer (Housing)</t>
  </si>
  <si>
    <t>Admin Assistant (Arts)</t>
  </si>
  <si>
    <t>Mick North</t>
  </si>
  <si>
    <t>Rob Stephenson</t>
  </si>
  <si>
    <t>Clean Neighbourhoods Enforcement Officer</t>
  </si>
  <si>
    <t>Dave Ingham</t>
  </si>
  <si>
    <t>Asst. Planning Enforcement Officer</t>
  </si>
  <si>
    <t>Development Control Officer</t>
  </si>
  <si>
    <t>VM41-08</t>
  </si>
  <si>
    <t>VM42-08</t>
  </si>
  <si>
    <t>VM43-08</t>
  </si>
  <si>
    <t>VM44-08</t>
  </si>
  <si>
    <t>VM46-08</t>
  </si>
  <si>
    <t>VM47-08</t>
  </si>
  <si>
    <t>Asst. Planning  Officer - Year Out Student</t>
  </si>
  <si>
    <t xml:space="preserve">Admin Assistant </t>
  </si>
  <si>
    <t>VM48-08</t>
  </si>
  <si>
    <t>Job Evaluator</t>
  </si>
  <si>
    <t>Personnel Office (temp)</t>
  </si>
  <si>
    <t>Tourism Information Officer</t>
  </si>
  <si>
    <t>John Bell</t>
  </si>
  <si>
    <t>Form withdrawn - extension to contract so no need for VM form</t>
  </si>
  <si>
    <t>Form withdrawn</t>
  </si>
  <si>
    <t>VM45-08</t>
  </si>
  <si>
    <t>New post to be funded from reserves set aside for job evaluation</t>
  </si>
  <si>
    <t>New funding for 2008/09</t>
  </si>
  <si>
    <t xml:space="preserve">Temp posts. Set up costs of new resp is covered by external grant. </t>
  </si>
  <si>
    <t>Benefits Customer Services &amp; Benefits Assessment Officers</t>
  </si>
  <si>
    <t>PT Technical Officer</t>
  </si>
  <si>
    <t>Alex Davies</t>
  </si>
  <si>
    <t>Establshd Post?</t>
  </si>
  <si>
    <t>Chased 29/5</t>
  </si>
  <si>
    <t>Agreed &amp; advtsd</t>
  </si>
  <si>
    <t>Agreed &amp; appntd</t>
  </si>
  <si>
    <t>FTE</t>
  </si>
  <si>
    <t>Construction Project Manager</t>
  </si>
  <si>
    <t>Agreed to 2 year fixed term appointment to allow for potential efficiencies to be explored when Council wide scanning activities are increased.</t>
  </si>
  <si>
    <t>Agreed due to impact on service.  Review to be undertaken on budgets for commissioning external work.  Review activities of the team regarding longer term requirements</t>
  </si>
  <si>
    <t>Agreed as seasonal requirement only.  But TIC staffing overall will be addressed as part of the Tourism Service review currently being undertaken.</t>
  </si>
  <si>
    <t>VM50-08</t>
  </si>
  <si>
    <t>VM51-08</t>
  </si>
  <si>
    <t>VM52-08</t>
  </si>
  <si>
    <t>VM55-08</t>
  </si>
  <si>
    <t>VM56-08</t>
  </si>
  <si>
    <t>VM57-08</t>
  </si>
  <si>
    <t>VM58-08</t>
  </si>
  <si>
    <t>VM59-08</t>
  </si>
  <si>
    <t>VM60-08</t>
  </si>
  <si>
    <t>VM61-08</t>
  </si>
  <si>
    <t>VM62-08</t>
  </si>
  <si>
    <t>VM63-08</t>
  </si>
  <si>
    <t>VM64-08</t>
  </si>
  <si>
    <t>VM65-08</t>
  </si>
  <si>
    <t>VM66-08</t>
  </si>
  <si>
    <t>VM67-08</t>
  </si>
  <si>
    <t>VM68-08</t>
  </si>
  <si>
    <t>VM69-08</t>
  </si>
  <si>
    <t>Administrative Assistant</t>
  </si>
  <si>
    <t>June Carswell</t>
  </si>
  <si>
    <t>Bereavement Services</t>
  </si>
  <si>
    <t>Clean Neighbourhood Enforcement Officer</t>
  </si>
  <si>
    <t>Dave ingham</t>
  </si>
  <si>
    <t>Environmental services</t>
  </si>
  <si>
    <t>Gardener</t>
  </si>
  <si>
    <t>Luke Leathers</t>
  </si>
  <si>
    <t>Green Spaces</t>
  </si>
  <si>
    <t>Anti Social Behaviour Officer</t>
  </si>
  <si>
    <t>Steven O'Keefe</t>
  </si>
  <si>
    <t>Les tickner</t>
  </si>
  <si>
    <t>Safer &amp; Stronger Communites Co-ordinator</t>
  </si>
  <si>
    <t>Assistant Engineer</t>
  </si>
  <si>
    <t>Les Tickner</t>
  </si>
  <si>
    <t>CDRP Admin Assistant</t>
  </si>
  <si>
    <t>Temp Admin Assistant</t>
  </si>
  <si>
    <t>Debbie Kavanagh</t>
  </si>
  <si>
    <t>Carlisle Renaissance</t>
  </si>
  <si>
    <t>Secretarial Assistant</t>
  </si>
  <si>
    <t>Executive</t>
  </si>
  <si>
    <t>Programme Manager</t>
  </si>
  <si>
    <t>Cleaner - Tullie House</t>
  </si>
  <si>
    <t>Cleaner - Bousteads Grassing</t>
  </si>
  <si>
    <t>Community Officer</t>
  </si>
  <si>
    <t>Iris Glimmerveen</t>
  </si>
  <si>
    <t>Trainee Revenues Officer</t>
  </si>
  <si>
    <t>Revenues</t>
  </si>
  <si>
    <t>Group Accountant</t>
  </si>
  <si>
    <t>Shelagh McGregor</t>
  </si>
  <si>
    <t>Financial Services</t>
  </si>
  <si>
    <t>Curatorial Assistant</t>
  </si>
  <si>
    <t>David Clarke</t>
  </si>
  <si>
    <t>Tullie House</t>
  </si>
  <si>
    <t>Audience Development Manager</t>
  </si>
  <si>
    <t>Policy &amp; Performance Officer</t>
  </si>
  <si>
    <t>Operational Support Assistant</t>
  </si>
  <si>
    <t>VM49-08</t>
  </si>
  <si>
    <t>VM53-08</t>
  </si>
  <si>
    <t>VM54-08</t>
  </si>
  <si>
    <t>FTE Reduction</t>
  </si>
  <si>
    <t>Scale 4 post to be fully funded by grant from DCMS.</t>
  </si>
  <si>
    <t>Forms originally submitted to SMT 25/3/08. Resubmitted 26/8/08. Cover for reduced hours on return from maternity leave.</t>
  </si>
  <si>
    <t>Rejected job share</t>
  </si>
  <si>
    <t>Aim to create job share following return from maternity leave - rejected by SMT.</t>
  </si>
  <si>
    <t>Funded by c/f - increase hours from 20 to 37 until funding runs out.</t>
  </si>
  <si>
    <t>Engineer's post deleted but £6k of 2008/09 saving (£27,200) used to extend temp Support Asst post to Mar 09</t>
  </si>
  <si>
    <t xml:space="preserve">Savings of £9,500 in 08/09, full year effect of £17,100 but savings to be set against Tourism Review reduction </t>
  </si>
  <si>
    <t>2008/09 VACANCY MANAGEMENT</t>
  </si>
  <si>
    <t xml:space="preserve">2008/09 Saving approved by SMT </t>
  </si>
  <si>
    <t>Full year equivalent saving</t>
  </si>
  <si>
    <t>VM12-08</t>
  </si>
  <si>
    <t>VM01-08</t>
  </si>
  <si>
    <t>VM04-08</t>
  </si>
  <si>
    <t>VM09-08</t>
  </si>
  <si>
    <t>Funding</t>
  </si>
  <si>
    <t>Community Services</t>
  </si>
  <si>
    <t>2008/09 Saving</t>
  </si>
  <si>
    <t>Full year saving</t>
  </si>
  <si>
    <t>Corporate Services</t>
  </si>
  <si>
    <t>PPP Services</t>
  </si>
  <si>
    <t>Total</t>
  </si>
  <si>
    <t>VACANCY MANAGEMENT MONITORING REPORT</t>
  </si>
  <si>
    <t>Gross value of vacant posts</t>
  </si>
  <si>
    <t>Less posts financed from external funding</t>
  </si>
  <si>
    <t>Less new posts approved in 2008/09 budget process</t>
  </si>
  <si>
    <t>Savings Approved by SMT</t>
  </si>
  <si>
    <t>Annual Target Savings</t>
  </si>
  <si>
    <t>WTE</t>
  </si>
  <si>
    <t>New posts for 2008/09</t>
  </si>
  <si>
    <t>WTE Reduction</t>
  </si>
  <si>
    <t>Shortfall against profiled budget</t>
  </si>
  <si>
    <t>19/2/08 Agreed to recruit</t>
  </si>
  <si>
    <t>11/3/08 Agreed to recruit</t>
  </si>
  <si>
    <t>11/3/08 Temp recruitment</t>
  </si>
  <si>
    <t>25/3/08 Forms to be resubmitted</t>
  </si>
  <si>
    <t>1/4/08 Deleted</t>
  </si>
  <si>
    <t>26/2/08 Agreed to recruit</t>
  </si>
  <si>
    <t>12/8/08 Rejected job share</t>
  </si>
  <si>
    <t>1/4/08 Agreed to recruit</t>
  </si>
  <si>
    <t>26/8/08 Agreed to recruit</t>
  </si>
  <si>
    <t>18/3/08 Agreed to recruit</t>
  </si>
  <si>
    <t>25/3/08 Agreed to recruit</t>
  </si>
  <si>
    <t>6/5/08 Agreed to recruit</t>
  </si>
  <si>
    <t>26/8/08 Agreed 18 month fixed term contract</t>
  </si>
  <si>
    <t>22/4/08 Agreed to recruit</t>
  </si>
  <si>
    <t>19/808 Agreed</t>
  </si>
  <si>
    <t>6/5/08 Agreed &amp; advtsd</t>
  </si>
  <si>
    <t>10/6/08 Agreed &amp; advtsd</t>
  </si>
  <si>
    <t>19/8/08 Agreed</t>
  </si>
  <si>
    <t>5/8/08 Agreed</t>
  </si>
  <si>
    <t>5/8/08 Agreed &amp; advtsd</t>
  </si>
  <si>
    <t>SMT Review date &amp;  Decision</t>
  </si>
  <si>
    <t>£</t>
  </si>
  <si>
    <t xml:space="preserve">Adjusted Total </t>
  </si>
  <si>
    <t>Profiled savings expected to date</t>
  </si>
  <si>
    <t>Fully funded by grant from County Council. Post recruited for 12 months.</t>
  </si>
  <si>
    <t xml:space="preserve">Form withdrawn </t>
  </si>
  <si>
    <t>VM70-08</t>
  </si>
  <si>
    <t>VM71-08</t>
  </si>
  <si>
    <t>VM72-08</t>
  </si>
  <si>
    <t>VM73-08</t>
  </si>
  <si>
    <t>VM74-08</t>
  </si>
  <si>
    <t>VM75-08</t>
  </si>
  <si>
    <t>VM76-08</t>
  </si>
  <si>
    <t>Personnel Officer</t>
  </si>
  <si>
    <t>Jean Cross</t>
  </si>
  <si>
    <t>Food Safety Health and Safety Officer</t>
  </si>
  <si>
    <t>VM77-08</t>
  </si>
  <si>
    <t>Principal Housing Officer[Homelessness &amp; Hostels]</t>
  </si>
  <si>
    <t>Housing [Homelessness &amp; Hostels]</t>
  </si>
  <si>
    <t>1VIR1319</t>
  </si>
  <si>
    <t>4 years Fixed Term Contract [funded from 5 year Housing Strategy bid]</t>
  </si>
  <si>
    <t>VM78-08</t>
  </si>
  <si>
    <t>Carlisle Partnership Support Officer</t>
  </si>
  <si>
    <t>Ned Kemp</t>
  </si>
  <si>
    <t>Carlisle Local Strategic Partnership</t>
  </si>
  <si>
    <t>23/09/08 Agreed to recruit</t>
  </si>
  <si>
    <t>Internal restructure not possible &amp; no savings put forward. To recruit replacement.</t>
  </si>
  <si>
    <t>VM79-08</t>
  </si>
  <si>
    <t>Environmental Quality</t>
  </si>
  <si>
    <t>Yes temp</t>
  </si>
  <si>
    <t>07/10/2008 Agreed to recruit</t>
  </si>
  <si>
    <t>VM82-08</t>
  </si>
  <si>
    <t>Clerical Assistant</t>
  </si>
  <si>
    <t>14/10/08 Agreed to recruit</t>
  </si>
  <si>
    <t>VM80-08</t>
  </si>
  <si>
    <t>VM81-08</t>
  </si>
  <si>
    <t>VM83-08</t>
  </si>
  <si>
    <t>VM84-08</t>
  </si>
  <si>
    <t>VM85-08</t>
  </si>
  <si>
    <t>VM86-08</t>
  </si>
  <si>
    <t>VM87-08</t>
  </si>
  <si>
    <t>VM88-08</t>
  </si>
  <si>
    <t>VM89-08</t>
  </si>
  <si>
    <t>Housing &amp; Health</t>
  </si>
  <si>
    <t>Development Services</t>
  </si>
  <si>
    <t>Homelessness Co-ordinator</t>
  </si>
  <si>
    <t>Planning &amp; Housing Services</t>
  </si>
  <si>
    <t>Caseworker</t>
  </si>
  <si>
    <t>Planning &amp; Housing</t>
  </si>
  <si>
    <t>Outreach Youth Worker</t>
  </si>
  <si>
    <t>Master</t>
  </si>
  <si>
    <t>Legal &amp; Democratic Services</t>
  </si>
  <si>
    <t>People, Policy and Performance</t>
  </si>
  <si>
    <t>Carl R</t>
  </si>
  <si>
    <t>6th Oct SMT</t>
  </si>
  <si>
    <t>Adjustments:</t>
  </si>
  <si>
    <t>30/09/08 Agreed to recruit</t>
  </si>
  <si>
    <t>Temporary appointment approved</t>
  </si>
  <si>
    <t>12/8/08 Agreed to delete</t>
  </si>
  <si>
    <t>-</t>
  </si>
  <si>
    <t>balance in ledger</t>
  </si>
  <si>
    <t>actual to date</t>
  </si>
  <si>
    <t>as spreadsheet</t>
  </si>
  <si>
    <t>Difference</t>
  </si>
  <si>
    <t>No (Temp)</t>
  </si>
  <si>
    <t>Awaiting update</t>
  </si>
  <si>
    <t>4/3/08  Agreed to recruit</t>
  </si>
  <si>
    <t>1/4/08  Agreed to recruit</t>
  </si>
  <si>
    <t>16/09/08 Agreed to recruit</t>
  </si>
  <si>
    <t>16/09/08 Agreed</t>
  </si>
  <si>
    <t>Agreed to recruit post for six months.  Matched by grant from Cumbria County Council</t>
  </si>
  <si>
    <t>30/9/08 Agreed to recruit</t>
  </si>
  <si>
    <t>16/09/08 Agreed to recruit for 6 months</t>
  </si>
  <si>
    <t>Complete</t>
  </si>
  <si>
    <t>Active</t>
  </si>
  <si>
    <t>VM10-08</t>
  </si>
  <si>
    <t>VM02-08</t>
  </si>
  <si>
    <t>VM03-08</t>
  </si>
  <si>
    <t>VM05-08</t>
  </si>
  <si>
    <t>VM06-08</t>
  </si>
  <si>
    <t>VM07-08</t>
  </si>
  <si>
    <t>VM08-08</t>
  </si>
  <si>
    <t>VM11-08</t>
  </si>
  <si>
    <t>VM13-08</t>
  </si>
  <si>
    <t>VM14-08</t>
  </si>
  <si>
    <t>VM15-08</t>
  </si>
  <si>
    <t>VM16-08</t>
  </si>
  <si>
    <t>VM17-08</t>
  </si>
  <si>
    <t>VM18-08</t>
  </si>
  <si>
    <t>VM19-08</t>
  </si>
  <si>
    <t>VM20-08</t>
  </si>
  <si>
    <t>VM21-08</t>
  </si>
  <si>
    <t>VM22-08</t>
  </si>
  <si>
    <t>VM23-08</t>
  </si>
  <si>
    <t>VM24-08</t>
  </si>
  <si>
    <t>VM25-08</t>
  </si>
  <si>
    <t>casual</t>
  </si>
  <si>
    <t>VM21b-08</t>
  </si>
  <si>
    <t>25/03/08 Agreed to recruit</t>
  </si>
  <si>
    <t>4/11/08 deferred pending Housing Strategy</t>
  </si>
  <si>
    <t>7/7/08  Agreed to advertise</t>
  </si>
  <si>
    <t>3 year post funded until mid July 2011 from non-recurring spending pressure in Financial Plan 08/09.  Same post as VM15-08</t>
  </si>
  <si>
    <t>04/11/08 Agreed</t>
  </si>
  <si>
    <t>Deputy Revenues Manager</t>
  </si>
  <si>
    <t>VM90-08</t>
  </si>
  <si>
    <t>VM91-08</t>
  </si>
  <si>
    <t>Collections Assistant</t>
  </si>
  <si>
    <t>Mark Beveridge</t>
  </si>
  <si>
    <t>Community &amp; Culture (TullieHouse)</t>
  </si>
  <si>
    <r>
      <t>Date Request Rec'd</t>
    </r>
    <r>
      <rPr>
        <b/>
        <sz val="10"/>
        <rFont val="Arial"/>
        <family val="2"/>
      </rPr>
      <t xml:space="preserve"> (from Personnel) </t>
    </r>
  </si>
  <si>
    <t>29/04/08 Agreed &amp; advtsd</t>
  </si>
  <si>
    <t>No savings proposals put forward.  Extra salary costs need to be generated by extra income</t>
  </si>
  <si>
    <t>Agreed week commencing 29/09/08</t>
  </si>
  <si>
    <t>Food Preparation Staff</t>
  </si>
  <si>
    <t>Robert Coleman</t>
  </si>
  <si>
    <t>Hammonds Pond</t>
  </si>
  <si>
    <t>Form Withdrawn</t>
  </si>
  <si>
    <t>Hostels</t>
  </si>
  <si>
    <t>On hold pending grant funding</t>
  </si>
  <si>
    <t>agreed by SF - advised no need for VM</t>
  </si>
  <si>
    <t>Agreed by Staffing Forum - advised no need for VM.</t>
  </si>
  <si>
    <t>Form</t>
  </si>
  <si>
    <t>Status</t>
  </si>
  <si>
    <t>Withdrawn</t>
  </si>
  <si>
    <t>??</t>
  </si>
  <si>
    <t>Agreed subject to temporsry appointment only until March 09</t>
  </si>
  <si>
    <t>Approved</t>
  </si>
  <si>
    <t>Approved - JC Secondment</t>
  </si>
  <si>
    <t>Property Assistant</t>
  </si>
  <si>
    <t>Raymond Simmonds</t>
  </si>
  <si>
    <t>Driver/Loader</t>
  </si>
  <si>
    <t>Externally funded by County Council until March 2009</t>
  </si>
  <si>
    <t>Cleaner (T House)</t>
  </si>
  <si>
    <t>Facilties</t>
  </si>
  <si>
    <t>Waste Services Promotions Officer</t>
  </si>
  <si>
    <t>PA to the TCCE</t>
  </si>
  <si>
    <t>Maintenance Operative Highways South</t>
  </si>
  <si>
    <t>D Clarke to provide</t>
  </si>
  <si>
    <t>Community &amp; Culture</t>
  </si>
  <si>
    <t>Face2Face Co-ordinators</t>
  </si>
  <si>
    <t>Crematorium Technician</t>
  </si>
  <si>
    <t>Cleaner @ Talkin Tarn</t>
  </si>
  <si>
    <t>11/11/08 Agreed to appoint</t>
  </si>
  <si>
    <t>Agreed to appoint.  Currently funded to July 2009.</t>
  </si>
  <si>
    <t>Externally funded.  Agreed to appoint.</t>
  </si>
  <si>
    <t xml:space="preserve">budget to date </t>
  </si>
  <si>
    <t>Yes (until July 09)</t>
  </si>
  <si>
    <t>end October</t>
  </si>
  <si>
    <t>18/11/08 Agreed to recruit</t>
  </si>
  <si>
    <t>Agreed to recruit.  S Taylor to confirm whether post could be temporary or whether it needs to be permanent, otherwise agreed.</t>
  </si>
  <si>
    <t>VM92/08</t>
  </si>
  <si>
    <t>VM93/08</t>
  </si>
  <si>
    <t>VM94/08</t>
  </si>
  <si>
    <t>Benefits Adjudication Officer (P/T)</t>
  </si>
  <si>
    <t>Gallery Assistant</t>
  </si>
  <si>
    <t>Mary Robinson</t>
  </si>
  <si>
    <t>VM95/08</t>
  </si>
  <si>
    <t>Senior Committee Services Officer</t>
  </si>
  <si>
    <t>Committee Servives</t>
  </si>
  <si>
    <t>Pending</t>
  </si>
  <si>
    <t>25/11/08 Agreed to recruit</t>
  </si>
  <si>
    <t>Agreed to fill post (25/11/08)</t>
  </si>
  <si>
    <t>25/11/08 - deferred until checks are made re potential reduction in Lottery grant.  If reduction is small delete post.  If large fill temporarily until March 2011.  M Battersby/M Lambert to contact Lottery managers</t>
  </si>
  <si>
    <t>Agreed to appoint.</t>
  </si>
  <si>
    <t>4/11/08 - Deferred pending Housing Strategy.  Sent direct to SMT on A Eales instruction</t>
  </si>
  <si>
    <t>Agreed to appoint on temporary basis pending the outcomes of Shared Service.</t>
  </si>
  <si>
    <t>end November</t>
  </si>
  <si>
    <t>ACTUAL SAVINGS TO NOVEMBER 2008</t>
  </si>
  <si>
    <t>Agreed to revised structure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</si>
</sst>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(#,##0\)"/>
    <numFmt numFmtId="166" formatCode="##,#0\(\-#,##0\)"/>
    <numFmt numFmtId="167" formatCode="#,##0.00;\(#,##0.00\)"/>
    <numFmt numFmtId="168" formatCode="#,##0;\(#,##0\);\-"/>
    <numFmt numFmtId="169" formatCode="#,##0.00;\(#,##0.00\);\-"/>
    <numFmt numFmtId="170" formatCode="0.00000"/>
    <numFmt numFmtId="171" formatCode="#,##0.0000;\(#,##0.0000\)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8"/>
      <name val="Tahoma"/>
      <family val="0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/>
    </xf>
    <xf numFmtId="164" fontId="2" fillId="0" borderId="11" xfId="0" applyNumberFormat="1" applyFont="1" applyFill="1" applyBorder="1" applyAlignment="1">
      <alignment horizontal="right" vertical="top"/>
    </xf>
    <xf numFmtId="0" fontId="1" fillId="0" borderId="2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/>
    </xf>
    <xf numFmtId="165" fontId="2" fillId="0" borderId="0" xfId="0" applyNumberFormat="1" applyFont="1" applyFill="1" applyAlignment="1">
      <alignment vertical="top"/>
    </xf>
    <xf numFmtId="165" fontId="1" fillId="0" borderId="12" xfId="0" applyNumberFormat="1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0" fontId="2" fillId="0" borderId="3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33" borderId="33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0" fontId="2" fillId="34" borderId="35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2" fillId="35" borderId="34" xfId="0" applyFont="1" applyFill="1" applyBorder="1" applyAlignment="1">
      <alignment vertical="top" wrapText="1"/>
    </xf>
    <xf numFmtId="14" fontId="2" fillId="0" borderId="14" xfId="0" applyNumberFormat="1" applyFont="1" applyFill="1" applyBorder="1" applyAlignment="1">
      <alignment horizontal="left" vertical="top"/>
    </xf>
    <xf numFmtId="14" fontId="2" fillId="0" borderId="14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36" borderId="1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right" vertical="top"/>
    </xf>
    <xf numFmtId="0" fontId="2" fillId="37" borderId="10" xfId="0" applyFont="1" applyFill="1" applyBorder="1" applyAlignment="1">
      <alignment vertical="top"/>
    </xf>
    <xf numFmtId="0" fontId="2" fillId="37" borderId="34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35" borderId="37" xfId="0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165" fontId="2" fillId="36" borderId="19" xfId="0" applyNumberFormat="1" applyFont="1" applyFill="1" applyBorder="1" applyAlignment="1">
      <alignment vertical="top"/>
    </xf>
    <xf numFmtId="0" fontId="2" fillId="36" borderId="38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/>
    </xf>
    <xf numFmtId="165" fontId="0" fillId="0" borderId="39" xfId="0" applyNumberFormat="1" applyFont="1" applyBorder="1" applyAlignment="1">
      <alignment horizontal="center" vertical="top"/>
    </xf>
    <xf numFmtId="165" fontId="0" fillId="0" borderId="26" xfId="0" applyNumberFormat="1" applyFont="1" applyBorder="1" applyAlignment="1">
      <alignment horizontal="center" vertical="top"/>
    </xf>
    <xf numFmtId="0" fontId="2" fillId="0" borderId="34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2" fillId="36" borderId="35" xfId="0" applyFont="1" applyFill="1" applyBorder="1" applyAlignment="1">
      <alignment vertical="top" wrapText="1"/>
    </xf>
    <xf numFmtId="0" fontId="0" fillId="0" borderId="39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165" fontId="1" fillId="0" borderId="24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/>
    </xf>
    <xf numFmtId="167" fontId="1" fillId="0" borderId="12" xfId="0" applyNumberFormat="1" applyFont="1" applyFill="1" applyBorder="1" applyAlignment="1">
      <alignment horizontal="right" vertical="top"/>
    </xf>
    <xf numFmtId="164" fontId="2" fillId="0" borderId="29" xfId="0" applyNumberFormat="1" applyFont="1" applyFill="1" applyBorder="1" applyAlignment="1">
      <alignment vertical="top"/>
    </xf>
    <xf numFmtId="0" fontId="2" fillId="34" borderId="34" xfId="0" applyFont="1" applyFill="1" applyBorder="1" applyAlignment="1">
      <alignment horizontal="left" vertical="top" wrapText="1"/>
    </xf>
    <xf numFmtId="14" fontId="2" fillId="0" borderId="4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4" fillId="0" borderId="23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3" fontId="14" fillId="0" borderId="23" xfId="0" applyNumberFormat="1" applyFont="1" applyFill="1" applyBorder="1" applyAlignment="1">
      <alignment horizontal="center" vertical="top" wrapText="1"/>
    </xf>
    <xf numFmtId="165" fontId="14" fillId="0" borderId="12" xfId="0" applyNumberFormat="1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center" vertical="top" wrapText="1"/>
    </xf>
    <xf numFmtId="3" fontId="14" fillId="0" borderId="24" xfId="0" applyNumberFormat="1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3" fontId="4" fillId="0" borderId="27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15" fontId="4" fillId="0" borderId="42" xfId="0" applyNumberFormat="1" applyFont="1" applyFill="1" applyBorder="1" applyAlignment="1">
      <alignment horizontal="right" vertical="top" wrapText="1"/>
    </xf>
    <xf numFmtId="15" fontId="4" fillId="0" borderId="43" xfId="0" applyNumberFormat="1" applyFont="1" applyFill="1" applyBorder="1" applyAlignment="1">
      <alignment horizontal="right" vertical="top"/>
    </xf>
    <xf numFmtId="4" fontId="4" fillId="0" borderId="43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right" vertical="top" wrapText="1"/>
    </xf>
    <xf numFmtId="165" fontId="4" fillId="0" borderId="44" xfId="0" applyNumberFormat="1" applyFont="1" applyFill="1" applyBorder="1" applyAlignment="1">
      <alignment horizontal="right" vertical="top"/>
    </xf>
    <xf numFmtId="0" fontId="4" fillId="0" borderId="45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15" fontId="4" fillId="0" borderId="28" xfId="0" applyNumberFormat="1" applyFont="1" applyFill="1" applyBorder="1" applyAlignment="1">
      <alignment vertical="top"/>
    </xf>
    <xf numFmtId="15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5" fontId="4" fillId="0" borderId="28" xfId="0" applyNumberFormat="1" applyFont="1" applyFill="1" applyBorder="1" applyAlignment="1">
      <alignment horizontal="right" vertical="top"/>
    </xf>
    <xf numFmtId="15" fontId="4" fillId="0" borderId="10" xfId="0" applyNumberFormat="1" applyFont="1" applyFill="1" applyBorder="1" applyAlignment="1" quotePrefix="1">
      <alignment horizontal="right" vertical="top"/>
    </xf>
    <xf numFmtId="0" fontId="4" fillId="0" borderId="28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15" fontId="4" fillId="0" borderId="10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164" fontId="4" fillId="0" borderId="29" xfId="0" applyNumberFormat="1" applyFont="1" applyFill="1" applyBorder="1" applyAlignment="1">
      <alignment horizontal="right" vertical="top" wrapText="1"/>
    </xf>
    <xf numFmtId="15" fontId="4" fillId="0" borderId="14" xfId="0" applyNumberFormat="1" applyFont="1" applyFill="1" applyBorder="1" applyAlignment="1" quotePrefix="1">
      <alignment horizontal="right" vertical="top"/>
    </xf>
    <xf numFmtId="4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46" xfId="0" applyNumberFormat="1" applyFont="1" applyFill="1" applyBorder="1" applyAlignment="1">
      <alignment horizontal="right"/>
    </xf>
    <xf numFmtId="3" fontId="14" fillId="0" borderId="46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14" fontId="4" fillId="0" borderId="11" xfId="0" applyNumberFormat="1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14" fontId="4" fillId="0" borderId="14" xfId="0" applyNumberFormat="1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15" fontId="2" fillId="0" borderId="25" xfId="0" applyNumberFormat="1" applyFont="1" applyFill="1" applyBorder="1" applyAlignment="1">
      <alignment vertical="top"/>
    </xf>
    <xf numFmtId="15" fontId="2" fillId="0" borderId="43" xfId="0" applyNumberFormat="1" applyFont="1" applyFill="1" applyBorder="1" applyAlignment="1" quotePrefix="1">
      <alignment horizontal="center" vertical="top"/>
    </xf>
    <xf numFmtId="15" fontId="2" fillId="0" borderId="10" xfId="0" applyNumberFormat="1" applyFont="1" applyFill="1" applyBorder="1" applyAlignment="1" quotePrefix="1">
      <alignment horizontal="center" vertical="top"/>
    </xf>
    <xf numFmtId="15" fontId="2" fillId="0" borderId="10" xfId="0" applyNumberFormat="1" applyFont="1" applyFill="1" applyBorder="1" applyAlignment="1">
      <alignment horizontal="center" vertical="top"/>
    </xf>
    <xf numFmtId="15" fontId="2" fillId="0" borderId="28" xfId="0" applyNumberFormat="1" applyFont="1" applyFill="1" applyBorder="1" applyAlignment="1">
      <alignment horizontal="center" vertical="top" wrapText="1"/>
    </xf>
    <xf numFmtId="15" fontId="2" fillId="0" borderId="14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5" fontId="2" fillId="0" borderId="40" xfId="0" applyNumberFormat="1" applyFont="1" applyFill="1" applyBorder="1" applyAlignment="1">
      <alignment horizontal="center" vertical="top"/>
    </xf>
    <xf numFmtId="14" fontId="2" fillId="0" borderId="14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67" fontId="7" fillId="0" borderId="10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top"/>
    </xf>
    <xf numFmtId="0" fontId="7" fillId="0" borderId="48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165" fontId="5" fillId="0" borderId="49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7" fillId="0" borderId="47" xfId="0" applyFont="1" applyFill="1" applyBorder="1" applyAlignment="1">
      <alignment horizontal="center" vertical="top"/>
    </xf>
    <xf numFmtId="164" fontId="7" fillId="0" borderId="47" xfId="0" applyNumberFormat="1" applyFont="1" applyFill="1" applyBorder="1" applyAlignment="1">
      <alignment horizontal="right" vertical="top"/>
    </xf>
    <xf numFmtId="0" fontId="7" fillId="0" borderId="47" xfId="0" applyFont="1" applyFill="1" applyBorder="1" applyAlignment="1">
      <alignment horizontal="right" vertical="top"/>
    </xf>
    <xf numFmtId="0" fontId="7" fillId="0" borderId="46" xfId="0" applyFont="1" applyFill="1" applyBorder="1" applyAlignment="1">
      <alignment vertical="top"/>
    </xf>
    <xf numFmtId="0" fontId="7" fillId="0" borderId="46" xfId="0" applyFont="1" applyFill="1" applyBorder="1" applyAlignment="1">
      <alignment horizontal="center" vertical="top"/>
    </xf>
    <xf numFmtId="164" fontId="7" fillId="0" borderId="46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vertical="top"/>
    </xf>
    <xf numFmtId="0" fontId="7" fillId="0" borderId="49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49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/>
    </xf>
    <xf numFmtId="0" fontId="5" fillId="0" borderId="49" xfId="0" applyFont="1" applyFill="1" applyBorder="1" applyAlignment="1">
      <alignment vertical="top"/>
    </xf>
    <xf numFmtId="0" fontId="5" fillId="0" borderId="49" xfId="0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14" fontId="2" fillId="0" borderId="21" xfId="0" applyNumberFormat="1" applyFont="1" applyFill="1" applyBorder="1" applyAlignment="1">
      <alignment horizontal="center" vertical="top" wrapText="1"/>
    </xf>
    <xf numFmtId="14" fontId="2" fillId="34" borderId="21" xfId="0" applyNumberFormat="1" applyFont="1" applyFill="1" applyBorder="1" applyAlignment="1">
      <alignment horizontal="center" vertical="top" wrapText="1"/>
    </xf>
    <xf numFmtId="165" fontId="7" fillId="38" borderId="1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right" vertical="top"/>
    </xf>
    <xf numFmtId="165" fontId="1" fillId="0" borderId="50" xfId="0" applyNumberFormat="1" applyFont="1" applyFill="1" applyBorder="1" applyAlignment="1">
      <alignment horizontal="right" vertical="top"/>
    </xf>
    <xf numFmtId="167" fontId="1" fillId="0" borderId="50" xfId="0" applyNumberFormat="1" applyFont="1" applyFill="1" applyBorder="1" applyAlignment="1">
      <alignment horizontal="right" vertical="top"/>
    </xf>
    <xf numFmtId="2" fontId="1" fillId="0" borderId="50" xfId="0" applyNumberFormat="1" applyFont="1" applyFill="1" applyBorder="1" applyAlignment="1">
      <alignment horizontal="center" vertical="top"/>
    </xf>
    <xf numFmtId="168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169" fontId="2" fillId="0" borderId="0" xfId="0" applyNumberFormat="1" applyFont="1" applyFill="1" applyAlignment="1">
      <alignment horizontal="right" vertical="top"/>
    </xf>
    <xf numFmtId="168" fontId="2" fillId="0" borderId="0" xfId="0" applyNumberFormat="1" applyFont="1" applyFill="1" applyAlignment="1">
      <alignment horizontal="right" vertical="top"/>
    </xf>
    <xf numFmtId="168" fontId="2" fillId="0" borderId="0" xfId="0" applyNumberFormat="1" applyFont="1" applyFill="1" applyAlignment="1">
      <alignment horizontal="center" vertical="top"/>
    </xf>
    <xf numFmtId="0" fontId="2" fillId="34" borderId="21" xfId="0" applyFont="1" applyFill="1" applyBorder="1" applyAlignment="1">
      <alignment horizontal="center" vertical="top" wrapText="1"/>
    </xf>
    <xf numFmtId="169" fontId="2" fillId="0" borderId="0" xfId="0" applyNumberFormat="1" applyFont="1" applyFill="1" applyAlignment="1">
      <alignment vertical="top"/>
    </xf>
    <xf numFmtId="2" fontId="7" fillId="0" borderId="47" xfId="0" applyNumberFormat="1" applyFont="1" applyFill="1" applyBorder="1" applyAlignment="1">
      <alignment horizontal="right" vertical="top"/>
    </xf>
    <xf numFmtId="2" fontId="7" fillId="0" borderId="46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49" xfId="0" applyNumberFormat="1" applyFont="1" applyFill="1" applyBorder="1" applyAlignment="1">
      <alignment vertical="top"/>
    </xf>
    <xf numFmtId="2" fontId="7" fillId="0" borderId="47" xfId="0" applyNumberFormat="1" applyFont="1" applyFill="1" applyBorder="1" applyAlignment="1">
      <alignment vertical="top"/>
    </xf>
    <xf numFmtId="2" fontId="5" fillId="0" borderId="49" xfId="0" applyNumberFormat="1" applyFont="1" applyFill="1" applyBorder="1" applyAlignment="1">
      <alignment vertical="top"/>
    </xf>
    <xf numFmtId="2" fontId="2" fillId="0" borderId="39" xfId="0" applyNumberFormat="1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>
      <alignment horizontal="right" vertical="top"/>
    </xf>
    <xf numFmtId="168" fontId="2" fillId="36" borderId="10" xfId="0" applyNumberFormat="1" applyFont="1" applyFill="1" applyBorder="1" applyAlignment="1">
      <alignment horizontal="right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8" fontId="2" fillId="0" borderId="10" xfId="0" applyNumberFormat="1" applyFont="1" applyFill="1" applyBorder="1" applyAlignment="1">
      <alignment horizontal="right" vertical="top"/>
    </xf>
    <xf numFmtId="168" fontId="2" fillId="37" borderId="10" xfId="0" applyNumberFormat="1" applyFont="1" applyFill="1" applyBorder="1" applyAlignment="1">
      <alignment horizontal="right" vertical="top" wrapText="1"/>
    </xf>
    <xf numFmtId="168" fontId="2" fillId="36" borderId="10" xfId="0" applyNumberFormat="1" applyFont="1" applyFill="1" applyBorder="1" applyAlignment="1">
      <alignment horizontal="right" vertical="top"/>
    </xf>
    <xf numFmtId="168" fontId="2" fillId="0" borderId="10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/>
    </xf>
    <xf numFmtId="168" fontId="2" fillId="36" borderId="14" xfId="0" applyNumberFormat="1" applyFont="1" applyFill="1" applyBorder="1" applyAlignment="1">
      <alignment vertical="top"/>
    </xf>
    <xf numFmtId="168" fontId="2" fillId="37" borderId="14" xfId="0" applyNumberFormat="1" applyFont="1" applyFill="1" applyBorder="1" applyAlignment="1">
      <alignment vertical="top"/>
    </xf>
    <xf numFmtId="168" fontId="2" fillId="0" borderId="40" xfId="0" applyNumberFormat="1" applyFont="1" applyFill="1" applyBorder="1" applyAlignment="1">
      <alignment vertical="top"/>
    </xf>
    <xf numFmtId="168" fontId="1" fillId="0" borderId="12" xfId="0" applyNumberFormat="1" applyFont="1" applyFill="1" applyBorder="1" applyAlignment="1">
      <alignment horizontal="right" vertical="top"/>
    </xf>
    <xf numFmtId="168" fontId="2" fillId="0" borderId="0" xfId="0" applyNumberFormat="1" applyFont="1" applyFill="1" applyBorder="1" applyAlignment="1">
      <alignment vertical="top"/>
    </xf>
    <xf numFmtId="168" fontId="1" fillId="0" borderId="5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Border="1" applyAlignment="1">
      <alignment horizontal="right" vertical="top"/>
    </xf>
    <xf numFmtId="168" fontId="2" fillId="0" borderId="0" xfId="0" applyNumberFormat="1" applyFont="1" applyFill="1" applyBorder="1" applyAlignment="1">
      <alignment horizontal="right" vertical="top"/>
    </xf>
    <xf numFmtId="169" fontId="2" fillId="0" borderId="11" xfId="0" applyNumberFormat="1" applyFont="1" applyFill="1" applyBorder="1" applyAlignment="1">
      <alignment horizontal="right" vertical="top"/>
    </xf>
    <xf numFmtId="169" fontId="2" fillId="36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horizontal="right" vertical="top"/>
    </xf>
    <xf numFmtId="169" fontId="2" fillId="37" borderId="10" xfId="0" applyNumberFormat="1" applyFont="1" applyFill="1" applyBorder="1" applyAlignment="1">
      <alignment horizontal="right" vertical="top" wrapText="1"/>
    </xf>
    <xf numFmtId="169" fontId="2" fillId="36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vertical="top"/>
    </xf>
    <xf numFmtId="169" fontId="2" fillId="0" borderId="14" xfId="0" applyNumberFormat="1" applyFont="1" applyFill="1" applyBorder="1" applyAlignment="1">
      <alignment vertical="top"/>
    </xf>
    <xf numFmtId="169" fontId="2" fillId="36" borderId="14" xfId="0" applyNumberFormat="1" applyFont="1" applyFill="1" applyBorder="1" applyAlignment="1">
      <alignment vertical="top"/>
    </xf>
    <xf numFmtId="169" fontId="2" fillId="37" borderId="14" xfId="0" applyNumberFormat="1" applyFont="1" applyFill="1" applyBorder="1" applyAlignment="1">
      <alignment vertical="top"/>
    </xf>
    <xf numFmtId="169" fontId="2" fillId="0" borderId="40" xfId="0" applyNumberFormat="1" applyFont="1" applyFill="1" applyBorder="1" applyAlignment="1">
      <alignment vertical="top"/>
    </xf>
    <xf numFmtId="169" fontId="1" fillId="0" borderId="12" xfId="0" applyNumberFormat="1" applyFont="1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vertical="top"/>
    </xf>
    <xf numFmtId="169" fontId="1" fillId="0" borderId="50" xfId="0" applyNumberFormat="1" applyFont="1" applyFill="1" applyBorder="1" applyAlignment="1">
      <alignment horizontal="right" vertical="top"/>
    </xf>
    <xf numFmtId="169" fontId="1" fillId="0" borderId="0" xfId="0" applyNumberFormat="1" applyFont="1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right" vertical="top"/>
    </xf>
    <xf numFmtId="169" fontId="2" fillId="0" borderId="22" xfId="0" applyNumberFormat="1" applyFont="1" applyFill="1" applyBorder="1" applyAlignment="1">
      <alignment horizontal="right" vertical="top"/>
    </xf>
    <xf numFmtId="169" fontId="2" fillId="0" borderId="20" xfId="0" applyNumberFormat="1" applyFont="1" applyFill="1" applyBorder="1" applyAlignment="1">
      <alignment horizontal="right" vertical="top" wrapText="1"/>
    </xf>
    <xf numFmtId="169" fontId="2" fillId="0" borderId="20" xfId="0" applyNumberFormat="1" applyFont="1" applyFill="1" applyBorder="1" applyAlignment="1">
      <alignment horizontal="right" vertical="top"/>
    </xf>
    <xf numFmtId="169" fontId="2" fillId="0" borderId="20" xfId="0" applyNumberFormat="1" applyFont="1" applyFill="1" applyBorder="1" applyAlignment="1">
      <alignment vertical="top"/>
    </xf>
    <xf numFmtId="169" fontId="2" fillId="0" borderId="21" xfId="0" applyNumberFormat="1" applyFont="1" applyFill="1" applyBorder="1" applyAlignment="1">
      <alignment vertical="top"/>
    </xf>
    <xf numFmtId="169" fontId="2" fillId="0" borderId="48" xfId="0" applyNumberFormat="1" applyFont="1" applyFill="1" applyBorder="1" applyAlignment="1">
      <alignment vertical="top"/>
    </xf>
    <xf numFmtId="168" fontId="2" fillId="0" borderId="22" xfId="0" applyNumberFormat="1" applyFont="1" applyFill="1" applyBorder="1" applyAlignment="1">
      <alignment horizontal="right" vertical="top"/>
    </xf>
    <xf numFmtId="168" fontId="2" fillId="0" borderId="20" xfId="0" applyNumberFormat="1" applyFont="1" applyFill="1" applyBorder="1" applyAlignment="1">
      <alignment horizontal="right" vertical="top" wrapText="1"/>
    </xf>
    <xf numFmtId="169" fontId="2" fillId="0" borderId="51" xfId="0" applyNumberFormat="1" applyFont="1" applyFill="1" applyBorder="1" applyAlignment="1">
      <alignment horizontal="right" vertical="top"/>
    </xf>
    <xf numFmtId="169" fontId="2" fillId="0" borderId="25" xfId="0" applyNumberFormat="1" applyFont="1" applyFill="1" applyBorder="1" applyAlignment="1">
      <alignment horizontal="right" vertical="top"/>
    </xf>
    <xf numFmtId="168" fontId="2" fillId="0" borderId="43" xfId="0" applyNumberFormat="1" applyFont="1" applyFill="1" applyBorder="1" applyAlignment="1">
      <alignment horizontal="right" vertical="top"/>
    </xf>
    <xf numFmtId="169" fontId="2" fillId="33" borderId="43" xfId="0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 wrapText="1"/>
    </xf>
    <xf numFmtId="169" fontId="2" fillId="33" borderId="10" xfId="0" applyNumberFormat="1" applyFont="1" applyFill="1" applyBorder="1" applyAlignment="1">
      <alignment horizontal="center" vertical="top"/>
    </xf>
    <xf numFmtId="169" fontId="2" fillId="33" borderId="10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/>
    </xf>
    <xf numFmtId="169" fontId="2" fillId="0" borderId="40" xfId="0" applyNumberFormat="1" applyFont="1" applyFill="1" applyBorder="1" applyAlignment="1">
      <alignment horizontal="center" vertical="top"/>
    </xf>
    <xf numFmtId="169" fontId="2" fillId="0" borderId="21" xfId="0" applyNumberFormat="1" applyFont="1" applyFill="1" applyBorder="1" applyAlignment="1">
      <alignment horizontal="center" vertical="top"/>
    </xf>
    <xf numFmtId="168" fontId="2" fillId="33" borderId="10" xfId="0" applyNumberFormat="1" applyFont="1" applyFill="1" applyBorder="1" applyAlignment="1">
      <alignment horizontal="right" vertical="top"/>
    </xf>
    <xf numFmtId="168" fontId="2" fillId="33" borderId="14" xfId="0" applyNumberFormat="1" applyFont="1" applyFill="1" applyBorder="1" applyAlignment="1">
      <alignment vertical="top"/>
    </xf>
    <xf numFmtId="169" fontId="2" fillId="33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90"/>
    </xf>
    <xf numFmtId="168" fontId="2" fillId="0" borderId="46" xfId="0" applyNumberFormat="1" applyFont="1" applyFill="1" applyBorder="1" applyAlignment="1">
      <alignment vertical="top"/>
    </xf>
    <xf numFmtId="165" fontId="2" fillId="39" borderId="19" xfId="0" applyNumberFormat="1" applyFont="1" applyFill="1" applyBorder="1" applyAlignment="1">
      <alignment vertical="top"/>
    </xf>
    <xf numFmtId="0" fontId="2" fillId="39" borderId="38" xfId="0" applyFont="1" applyFill="1" applyBorder="1" applyAlignment="1">
      <alignment vertical="top"/>
    </xf>
    <xf numFmtId="16" fontId="2" fillId="0" borderId="0" xfId="0" applyNumberFormat="1" applyFont="1" applyFill="1" applyAlignment="1">
      <alignment horizontal="left" vertical="top" wrapText="1"/>
    </xf>
    <xf numFmtId="16" fontId="1" fillId="0" borderId="0" xfId="0" applyNumberFormat="1" applyFont="1" applyFill="1" applyAlignment="1">
      <alignment horizontal="left" vertical="top" wrapText="1"/>
    </xf>
    <xf numFmtId="16" fontId="2" fillId="0" borderId="0" xfId="0" applyNumberFormat="1" applyFont="1" applyFill="1" applyAlignment="1">
      <alignment horizontal="left" vertical="top"/>
    </xf>
    <xf numFmtId="0" fontId="2" fillId="36" borderId="2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48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 shrinkToFit="1"/>
    </xf>
    <xf numFmtId="0" fontId="2" fillId="34" borderId="21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/>
    </xf>
    <xf numFmtId="0" fontId="2" fillId="36" borderId="28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 vertical="top" wrapText="1"/>
    </xf>
    <xf numFmtId="14" fontId="2" fillId="37" borderId="2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169" fontId="2" fillId="36" borderId="21" xfId="0" applyNumberFormat="1" applyFont="1" applyFill="1" applyBorder="1" applyAlignment="1">
      <alignment vertical="top"/>
    </xf>
    <xf numFmtId="15" fontId="4" fillId="0" borderId="11" xfId="0" applyNumberFormat="1" applyFont="1" applyFill="1" applyBorder="1" applyAlignment="1">
      <alignment horizontal="right" vertical="top" wrapText="1"/>
    </xf>
    <xf numFmtId="15" fontId="4" fillId="0" borderId="14" xfId="0" applyNumberFormat="1" applyFont="1" applyFill="1" applyBorder="1" applyAlignment="1">
      <alignment horizontal="right" vertical="top" wrapText="1"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0" fontId="2" fillId="35" borderId="25" xfId="0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right" vertical="top" wrapText="1"/>
    </xf>
    <xf numFmtId="168" fontId="2" fillId="35" borderId="10" xfId="0" applyNumberFormat="1" applyFont="1" applyFill="1" applyBorder="1" applyAlignment="1">
      <alignment horizontal="right" vertical="top" wrapText="1"/>
    </xf>
    <xf numFmtId="169" fontId="2" fillId="35" borderId="10" xfId="0" applyNumberFormat="1" applyFont="1" applyFill="1" applyBorder="1" applyAlignment="1">
      <alignment horizontal="right" vertical="top" wrapText="1"/>
    </xf>
    <xf numFmtId="169" fontId="2" fillId="35" borderId="20" xfId="0" applyNumberFormat="1" applyFont="1" applyFill="1" applyBorder="1" applyAlignment="1">
      <alignment horizontal="right" vertical="top" wrapText="1"/>
    </xf>
    <xf numFmtId="168" fontId="2" fillId="35" borderId="22" xfId="0" applyNumberFormat="1" applyFont="1" applyFill="1" applyBorder="1" applyAlignment="1">
      <alignment horizontal="right" vertical="top"/>
    </xf>
    <xf numFmtId="169" fontId="2" fillId="35" borderId="51" xfId="0" applyNumberFormat="1" applyFont="1" applyFill="1" applyBorder="1" applyAlignment="1">
      <alignment horizontal="right" vertical="top"/>
    </xf>
    <xf numFmtId="0" fontId="2" fillId="35" borderId="20" xfId="0" applyFont="1" applyFill="1" applyBorder="1" applyAlignment="1">
      <alignment horizontal="center" vertical="top" wrapText="1"/>
    </xf>
    <xf numFmtId="169" fontId="2" fillId="35" borderId="10" xfId="0" applyNumberFormat="1" applyFont="1" applyFill="1" applyBorder="1" applyAlignment="1">
      <alignment horizontal="center" vertical="top" wrapText="1"/>
    </xf>
    <xf numFmtId="15" fontId="2" fillId="35" borderId="10" xfId="0" applyNumberFormat="1" applyFont="1" applyFill="1" applyBorder="1" applyAlignment="1">
      <alignment horizontal="center" vertical="top"/>
    </xf>
    <xf numFmtId="0" fontId="2" fillId="35" borderId="28" xfId="0" applyFont="1" applyFill="1" applyBorder="1" applyAlignment="1">
      <alignment horizontal="right" vertical="top" wrapText="1"/>
    </xf>
    <xf numFmtId="0" fontId="2" fillId="35" borderId="25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right" vertical="top"/>
    </xf>
    <xf numFmtId="168" fontId="2" fillId="35" borderId="10" xfId="0" applyNumberFormat="1" applyFont="1" applyFill="1" applyBorder="1" applyAlignment="1">
      <alignment horizontal="right" vertical="top"/>
    </xf>
    <xf numFmtId="169" fontId="2" fillId="35" borderId="10" xfId="0" applyNumberFormat="1" applyFont="1" applyFill="1" applyBorder="1" applyAlignment="1">
      <alignment horizontal="right" vertical="top"/>
    </xf>
    <xf numFmtId="169" fontId="2" fillId="35" borderId="20" xfId="0" applyNumberFormat="1" applyFont="1" applyFill="1" applyBorder="1" applyAlignment="1">
      <alignment horizontal="right" vertical="top"/>
    </xf>
    <xf numFmtId="0" fontId="2" fillId="35" borderId="20" xfId="0" applyFont="1" applyFill="1" applyBorder="1" applyAlignment="1">
      <alignment horizontal="center" vertical="top"/>
    </xf>
    <xf numFmtId="169" fontId="2" fillId="35" borderId="10" xfId="0" applyNumberFormat="1" applyFont="1" applyFill="1" applyBorder="1" applyAlignment="1">
      <alignment horizontal="center" vertical="top"/>
    </xf>
    <xf numFmtId="0" fontId="2" fillId="35" borderId="28" xfId="0" applyFont="1" applyFill="1" applyBorder="1" applyAlignment="1">
      <alignment horizontal="right" vertical="top"/>
    </xf>
    <xf numFmtId="0" fontId="2" fillId="35" borderId="2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 wrapText="1"/>
    </xf>
    <xf numFmtId="168" fontId="2" fillId="35" borderId="14" xfId="0" applyNumberFormat="1" applyFont="1" applyFill="1" applyBorder="1" applyAlignment="1">
      <alignment vertical="top"/>
    </xf>
    <xf numFmtId="169" fontId="2" fillId="35" borderId="14" xfId="0" applyNumberFormat="1" applyFont="1" applyFill="1" applyBorder="1" applyAlignment="1">
      <alignment vertical="top"/>
    </xf>
    <xf numFmtId="169" fontId="2" fillId="35" borderId="21" xfId="0" applyNumberFormat="1" applyFont="1" applyFill="1" applyBorder="1" applyAlignment="1">
      <alignment vertical="top"/>
    </xf>
    <xf numFmtId="169" fontId="2" fillId="35" borderId="1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35" borderId="32" xfId="0" applyFont="1" applyFill="1" applyBorder="1" applyAlignment="1">
      <alignment horizontal="center" vertical="top"/>
    </xf>
    <xf numFmtId="14" fontId="2" fillId="35" borderId="14" xfId="0" applyNumberFormat="1" applyFont="1" applyFill="1" applyBorder="1" applyAlignment="1">
      <alignment vertical="top"/>
    </xf>
    <xf numFmtId="0" fontId="0" fillId="35" borderId="10" xfId="0" applyFill="1" applyBorder="1" applyAlignment="1">
      <alignment horizontal="left" vertical="top"/>
    </xf>
    <xf numFmtId="15" fontId="2" fillId="35" borderId="14" xfId="0" applyNumberFormat="1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14" fontId="2" fillId="36" borderId="21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165" fontId="2" fillId="37" borderId="37" xfId="0" applyNumberFormat="1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37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69</xdr:row>
      <xdr:rowOff>85725</xdr:rowOff>
    </xdr:from>
    <xdr:to>
      <xdr:col>22</xdr:col>
      <xdr:colOff>0</xdr:colOff>
      <xdr:row>69</xdr:row>
      <xdr:rowOff>238125</xdr:rowOff>
    </xdr:to>
    <xdr:sp>
      <xdr:nvSpPr>
        <xdr:cNvPr id="1" name="WordArt 9"/>
        <xdr:cNvSpPr>
          <a:spLocks/>
        </xdr:cNvSpPr>
      </xdr:nvSpPr>
      <xdr:spPr>
        <a:xfrm>
          <a:off x="2095500" y="29346525"/>
          <a:ext cx="178879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  <xdr:twoCellAnchor>
    <xdr:from>
      <xdr:col>3</xdr:col>
      <xdr:colOff>323850</xdr:colOff>
      <xdr:row>34</xdr:row>
      <xdr:rowOff>95250</xdr:rowOff>
    </xdr:from>
    <xdr:to>
      <xdr:col>21</xdr:col>
      <xdr:colOff>9525</xdr:colOff>
      <xdr:row>34</xdr:row>
      <xdr:rowOff>342900</xdr:rowOff>
    </xdr:to>
    <xdr:sp>
      <xdr:nvSpPr>
        <xdr:cNvPr id="2" name="WordArt 10"/>
        <xdr:cNvSpPr>
          <a:spLocks/>
        </xdr:cNvSpPr>
      </xdr:nvSpPr>
      <xdr:spPr>
        <a:xfrm>
          <a:off x="2400300" y="11077575"/>
          <a:ext cx="16783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  <xdr:twoCellAnchor>
    <xdr:from>
      <xdr:col>3</xdr:col>
      <xdr:colOff>352425</xdr:colOff>
      <xdr:row>35</xdr:row>
      <xdr:rowOff>76200</xdr:rowOff>
    </xdr:from>
    <xdr:to>
      <xdr:col>21</xdr:col>
      <xdr:colOff>38100</xdr:colOff>
      <xdr:row>35</xdr:row>
      <xdr:rowOff>323850</xdr:rowOff>
    </xdr:to>
    <xdr:sp>
      <xdr:nvSpPr>
        <xdr:cNvPr id="3" name="WordArt 11"/>
        <xdr:cNvSpPr>
          <a:spLocks/>
        </xdr:cNvSpPr>
      </xdr:nvSpPr>
      <xdr:spPr>
        <a:xfrm>
          <a:off x="2428875" y="11420475"/>
          <a:ext cx="16783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  <xdr:twoCellAnchor>
    <xdr:from>
      <xdr:col>3</xdr:col>
      <xdr:colOff>352425</xdr:colOff>
      <xdr:row>44</xdr:row>
      <xdr:rowOff>76200</xdr:rowOff>
    </xdr:from>
    <xdr:to>
      <xdr:col>21</xdr:col>
      <xdr:colOff>38100</xdr:colOff>
      <xdr:row>44</xdr:row>
      <xdr:rowOff>323850</xdr:rowOff>
    </xdr:to>
    <xdr:sp>
      <xdr:nvSpPr>
        <xdr:cNvPr id="4" name="WordArt 15"/>
        <xdr:cNvSpPr>
          <a:spLocks/>
        </xdr:cNvSpPr>
      </xdr:nvSpPr>
      <xdr:spPr>
        <a:xfrm>
          <a:off x="2428875" y="15944850"/>
          <a:ext cx="16783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  <xdr:twoCellAnchor>
    <xdr:from>
      <xdr:col>3</xdr:col>
      <xdr:colOff>333375</xdr:colOff>
      <xdr:row>62</xdr:row>
      <xdr:rowOff>28575</xdr:rowOff>
    </xdr:from>
    <xdr:to>
      <xdr:col>21</xdr:col>
      <xdr:colOff>19050</xdr:colOff>
      <xdr:row>62</xdr:row>
      <xdr:rowOff>152400</xdr:rowOff>
    </xdr:to>
    <xdr:sp>
      <xdr:nvSpPr>
        <xdr:cNvPr id="5" name="WordArt 78"/>
        <xdr:cNvSpPr>
          <a:spLocks/>
        </xdr:cNvSpPr>
      </xdr:nvSpPr>
      <xdr:spPr>
        <a:xfrm>
          <a:off x="2409825" y="26031825"/>
          <a:ext cx="167830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  <xdr:twoCellAnchor>
    <xdr:from>
      <xdr:col>3</xdr:col>
      <xdr:colOff>333375</xdr:colOff>
      <xdr:row>65</xdr:row>
      <xdr:rowOff>76200</xdr:rowOff>
    </xdr:from>
    <xdr:to>
      <xdr:col>21</xdr:col>
      <xdr:colOff>19050</xdr:colOff>
      <xdr:row>65</xdr:row>
      <xdr:rowOff>323850</xdr:rowOff>
    </xdr:to>
    <xdr:sp>
      <xdr:nvSpPr>
        <xdr:cNvPr id="6" name="WordArt 81"/>
        <xdr:cNvSpPr>
          <a:spLocks/>
        </xdr:cNvSpPr>
      </xdr:nvSpPr>
      <xdr:spPr>
        <a:xfrm>
          <a:off x="2409825" y="27346275"/>
          <a:ext cx="16783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Form withdrawn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81"/>
  <sheetViews>
    <sheetView zoomScale="75" zoomScaleNormal="75" zoomScaleSheetLayoutView="65" zoomScalePageLayoutView="0" workbookViewId="0" topLeftCell="A1">
      <selection activeCell="T176" sqref="T176"/>
    </sheetView>
  </sheetViews>
  <sheetFormatPr defaultColWidth="9.140625" defaultRowHeight="12.75"/>
  <cols>
    <col min="1" max="1" width="9.140625" style="10" customWidth="1"/>
    <col min="2" max="2" width="10.8515625" style="372" bestFit="1" customWidth="1"/>
    <col min="3" max="3" width="11.140625" style="10" customWidth="1"/>
    <col min="4" max="4" width="14.7109375" style="10" customWidth="1"/>
    <col min="5" max="5" width="30.7109375" style="10" customWidth="1"/>
    <col min="6" max="6" width="18.00390625" style="10" customWidth="1"/>
    <col min="7" max="7" width="27.140625" style="10" customWidth="1"/>
    <col min="8" max="8" width="12.57421875" style="10" customWidth="1"/>
    <col min="9" max="9" width="12.421875" style="14" customWidth="1"/>
    <col min="10" max="10" width="11.28125" style="10" customWidth="1"/>
    <col min="11" max="11" width="11.7109375" style="10" customWidth="1"/>
    <col min="12" max="12" width="9.8515625" style="302" bestFit="1" customWidth="1"/>
    <col min="13" max="13" width="14.00390625" style="69" customWidth="1"/>
    <col min="14" max="14" width="11.7109375" style="69" bestFit="1" customWidth="1"/>
    <col min="15" max="15" width="13.140625" style="69" bestFit="1" customWidth="1"/>
    <col min="16" max="16" width="8.57421875" style="69" customWidth="1"/>
    <col min="17" max="17" width="12.7109375" style="69" customWidth="1"/>
    <col min="18" max="18" width="9.00390625" style="10" customWidth="1"/>
    <col min="19" max="19" width="14.421875" style="14" customWidth="1"/>
    <col min="20" max="20" width="12.00390625" style="10" customWidth="1"/>
    <col min="21" max="21" width="12.421875" style="13" customWidth="1"/>
    <col min="22" max="22" width="12.140625" style="14" customWidth="1"/>
    <col min="23" max="23" width="7.140625" style="14" customWidth="1"/>
    <col min="24" max="24" width="11.7109375" style="14" customWidth="1"/>
    <col min="25" max="25" width="37.57421875" style="10" customWidth="1"/>
    <col min="26" max="27" width="10.8515625" style="9" customWidth="1"/>
    <col min="28" max="28" width="11.7109375" style="9" customWidth="1"/>
    <col min="29" max="16384" width="9.140625" style="10" customWidth="1"/>
  </cols>
  <sheetData>
    <row r="1" spans="3:20" ht="18">
      <c r="C1" s="19" t="s">
        <v>277</v>
      </c>
      <c r="M1" s="103"/>
      <c r="N1" s="103"/>
      <c r="O1" s="103"/>
      <c r="P1" s="103"/>
      <c r="Q1" s="103"/>
      <c r="R1" s="104"/>
      <c r="T1" s="104"/>
    </row>
    <row r="2" spans="3:20" ht="18">
      <c r="C2" s="18" t="s">
        <v>357</v>
      </c>
      <c r="D2" s="89"/>
      <c r="E2" s="219"/>
      <c r="F2" s="89"/>
      <c r="M2" s="103"/>
      <c r="N2" s="103"/>
      <c r="O2" s="103"/>
      <c r="P2" s="103"/>
      <c r="Q2" s="103"/>
      <c r="R2" s="104"/>
      <c r="T2" s="104"/>
    </row>
    <row r="3" spans="3:20" ht="18.75" thickBot="1">
      <c r="C3" s="18"/>
      <c r="M3" s="104"/>
      <c r="N3" s="104"/>
      <c r="O3" s="104"/>
      <c r="P3" s="104"/>
      <c r="Q3" s="104"/>
      <c r="R3" s="104"/>
      <c r="T3" s="104"/>
    </row>
    <row r="4" spans="3:22" ht="15.75" thickBot="1">
      <c r="C4" s="38" t="s">
        <v>92</v>
      </c>
      <c r="D4" s="73"/>
      <c r="E4" s="105" t="s">
        <v>91</v>
      </c>
      <c r="F4" s="39"/>
      <c r="G4" s="104"/>
      <c r="M4" s="74"/>
      <c r="N4" s="74"/>
      <c r="O4" s="74"/>
      <c r="P4" s="74"/>
      <c r="Q4" s="74"/>
      <c r="R4" s="74"/>
      <c r="T4" s="104"/>
      <c r="V4" s="112"/>
    </row>
    <row r="5" spans="3:22" ht="15.75" thickBot="1">
      <c r="C5" s="40"/>
      <c r="D5" s="74"/>
      <c r="E5" s="106" t="s">
        <v>90</v>
      </c>
      <c r="F5" s="107"/>
      <c r="G5" s="104"/>
      <c r="M5" s="74"/>
      <c r="N5" s="74"/>
      <c r="O5" s="74"/>
      <c r="P5" s="74"/>
      <c r="Q5" s="74"/>
      <c r="R5" s="74"/>
      <c r="T5" s="104"/>
      <c r="V5" s="112"/>
    </row>
    <row r="6" spans="3:22" ht="15.75" thickBot="1">
      <c r="C6" s="40"/>
      <c r="D6" s="74"/>
      <c r="E6" s="101" t="s">
        <v>93</v>
      </c>
      <c r="F6" s="102"/>
      <c r="G6" s="104"/>
      <c r="M6" s="74"/>
      <c r="N6" s="74"/>
      <c r="O6" s="74"/>
      <c r="P6" s="74"/>
      <c r="Q6" s="74"/>
      <c r="R6" s="74"/>
      <c r="T6" s="104"/>
      <c r="V6" s="112"/>
    </row>
    <row r="7" spans="3:22" ht="15.75" thickBot="1">
      <c r="C7" s="40"/>
      <c r="D7" s="74"/>
      <c r="E7" s="449" t="s">
        <v>180</v>
      </c>
      <c r="F7" s="448"/>
      <c r="G7" s="104"/>
      <c r="M7" s="74"/>
      <c r="N7" s="74"/>
      <c r="O7" s="74"/>
      <c r="P7" s="74"/>
      <c r="Q7" s="74"/>
      <c r="R7" s="74"/>
      <c r="T7" s="104"/>
      <c r="V7" s="112"/>
    </row>
    <row r="8" spans="3:22" ht="15.75" thickBot="1">
      <c r="C8" s="40"/>
      <c r="D8" s="74"/>
      <c r="E8" s="108" t="s">
        <v>139</v>
      </c>
      <c r="F8" s="109"/>
      <c r="G8" s="13"/>
      <c r="H8" s="103"/>
      <c r="I8" s="112"/>
      <c r="M8" s="74"/>
      <c r="N8" s="74"/>
      <c r="O8" s="74"/>
      <c r="P8" s="74"/>
      <c r="Q8" s="74"/>
      <c r="R8" s="74"/>
      <c r="T8" s="104"/>
      <c r="V8" s="112"/>
    </row>
    <row r="9" spans="3:22" ht="15.75" thickBot="1">
      <c r="C9" s="40"/>
      <c r="D9" s="74"/>
      <c r="E9" s="379" t="s">
        <v>372</v>
      </c>
      <c r="F9" s="380"/>
      <c r="G9" s="13"/>
      <c r="H9" s="103"/>
      <c r="I9" s="112"/>
      <c r="M9" s="74"/>
      <c r="N9" s="74"/>
      <c r="O9" s="74"/>
      <c r="P9" s="74"/>
      <c r="Q9" s="74"/>
      <c r="R9" s="74"/>
      <c r="T9" s="104"/>
      <c r="V9" s="112"/>
    </row>
    <row r="10" spans="3:22" ht="15.75" thickBot="1">
      <c r="C10" s="41"/>
      <c r="D10" s="75"/>
      <c r="E10" s="447" t="s">
        <v>183</v>
      </c>
      <c r="F10" s="448"/>
      <c r="G10" s="13"/>
      <c r="H10" s="103"/>
      <c r="I10" s="112"/>
      <c r="M10" s="74"/>
      <c r="N10" s="74"/>
      <c r="O10" s="74"/>
      <c r="P10" s="74"/>
      <c r="Q10" s="74"/>
      <c r="R10" s="74"/>
      <c r="T10" s="104"/>
      <c r="V10" s="112"/>
    </row>
    <row r="11" spans="3:22" ht="15">
      <c r="C11" s="74"/>
      <c r="D11" s="74"/>
      <c r="E11" s="103"/>
      <c r="F11" s="104"/>
      <c r="G11" s="13"/>
      <c r="H11" s="103"/>
      <c r="I11" s="112"/>
      <c r="M11" s="74"/>
      <c r="N11" s="74"/>
      <c r="O11" s="74"/>
      <c r="P11" s="74"/>
      <c r="Q11" s="74"/>
      <c r="R11" s="74"/>
      <c r="T11" s="104"/>
      <c r="V11" s="112"/>
    </row>
    <row r="12" spans="4:22" ht="23.25">
      <c r="D12" s="117"/>
      <c r="E12" s="117"/>
      <c r="F12" s="264" t="s">
        <v>96</v>
      </c>
      <c r="G12" s="239"/>
      <c r="H12" s="239"/>
      <c r="I12" s="265"/>
      <c r="J12" s="266"/>
      <c r="K12" s="267"/>
      <c r="L12" s="309"/>
      <c r="M12" s="250" t="s">
        <v>308</v>
      </c>
      <c r="N12" s="250" t="s">
        <v>283</v>
      </c>
      <c r="P12" s="220"/>
      <c r="Q12" s="74"/>
      <c r="T12" s="104"/>
      <c r="V12" s="112"/>
    </row>
    <row r="13" spans="6:22" ht="23.25">
      <c r="F13" s="251" t="s">
        <v>278</v>
      </c>
      <c r="G13" s="268"/>
      <c r="H13" s="268"/>
      <c r="I13" s="269"/>
      <c r="J13" s="270"/>
      <c r="K13" s="268"/>
      <c r="L13" s="310"/>
      <c r="M13" s="248">
        <f>K126</f>
        <v>1286716</v>
      </c>
      <c r="N13" s="247">
        <f>L126</f>
        <v>51.77756756756756</v>
      </c>
      <c r="P13" s="221"/>
      <c r="Q13" s="104"/>
      <c r="T13" s="104"/>
      <c r="V13" s="112"/>
    </row>
    <row r="14" spans="6:22" ht="23.25">
      <c r="F14" s="252" t="s">
        <v>279</v>
      </c>
      <c r="G14" s="240"/>
      <c r="H14" s="240"/>
      <c r="I14" s="238"/>
      <c r="J14" s="271"/>
      <c r="K14" s="240"/>
      <c r="L14" s="311"/>
      <c r="M14" s="248">
        <f>M126</f>
        <v>-220894</v>
      </c>
      <c r="N14" s="247">
        <f>N126</f>
        <v>-10.000000000000002</v>
      </c>
      <c r="P14" s="221"/>
      <c r="Q14" s="104"/>
      <c r="T14" s="104"/>
      <c r="V14" s="112"/>
    </row>
    <row r="15" spans="6:22" ht="23.25">
      <c r="F15" s="251" t="s">
        <v>280</v>
      </c>
      <c r="G15" s="268"/>
      <c r="H15" s="268"/>
      <c r="I15" s="269"/>
      <c r="J15" s="270"/>
      <c r="K15" s="268"/>
      <c r="L15" s="310"/>
      <c r="M15" s="248">
        <f>O126</f>
        <v>-187400</v>
      </c>
      <c r="N15" s="247">
        <f>P126</f>
        <v>-6</v>
      </c>
      <c r="O15" s="10"/>
      <c r="P15" s="221"/>
      <c r="Q15" s="104"/>
      <c r="T15" s="104"/>
      <c r="V15" s="112"/>
    </row>
    <row r="16" spans="6:22" ht="23.25">
      <c r="F16" s="272" t="s">
        <v>309</v>
      </c>
      <c r="G16" s="273"/>
      <c r="H16" s="273"/>
      <c r="I16" s="274"/>
      <c r="J16" s="273"/>
      <c r="K16" s="275"/>
      <c r="L16" s="312"/>
      <c r="M16" s="281">
        <f>SUM(M13:M15)</f>
        <v>878422</v>
      </c>
      <c r="N16" s="282">
        <f>SUM(N13:N15)</f>
        <v>35.77756756756756</v>
      </c>
      <c r="O16" s="10"/>
      <c r="P16" s="221"/>
      <c r="Q16" s="104"/>
      <c r="T16" s="104"/>
      <c r="V16" s="112"/>
    </row>
    <row r="17" spans="6:22" ht="23.25">
      <c r="F17" s="240"/>
      <c r="G17" s="244"/>
      <c r="H17" s="244"/>
      <c r="I17" s="276"/>
      <c r="J17" s="244"/>
      <c r="K17" s="240"/>
      <c r="L17" s="311"/>
      <c r="M17" s="242"/>
      <c r="N17" s="240"/>
      <c r="O17" s="262"/>
      <c r="P17" s="221"/>
      <c r="Q17" s="104"/>
      <c r="T17" s="104"/>
      <c r="V17" s="112"/>
    </row>
    <row r="18" spans="6:22" ht="23.25">
      <c r="F18" s="110" t="s">
        <v>282</v>
      </c>
      <c r="G18" s="240"/>
      <c r="H18" s="240"/>
      <c r="I18" s="238"/>
      <c r="J18" s="271"/>
      <c r="K18" s="241"/>
      <c r="L18" s="311"/>
      <c r="M18" s="254">
        <v>500000</v>
      </c>
      <c r="N18" s="240"/>
      <c r="O18" s="262"/>
      <c r="P18" s="221"/>
      <c r="Q18" s="104"/>
      <c r="T18" s="104"/>
      <c r="V18" s="112"/>
    </row>
    <row r="19" spans="6:22" ht="23.25">
      <c r="F19" s="240"/>
      <c r="G19" s="240"/>
      <c r="H19" s="240"/>
      <c r="I19" s="238"/>
      <c r="J19" s="271"/>
      <c r="K19" s="241"/>
      <c r="L19" s="311"/>
      <c r="M19" s="277"/>
      <c r="N19" s="240"/>
      <c r="O19" s="262"/>
      <c r="P19" s="221"/>
      <c r="Q19" s="104"/>
      <c r="T19" s="104"/>
      <c r="V19" s="112"/>
    </row>
    <row r="20" spans="6:22" ht="23.25">
      <c r="F20" s="253" t="s">
        <v>310</v>
      </c>
      <c r="G20" s="239"/>
      <c r="H20" s="239"/>
      <c r="I20" s="265"/>
      <c r="J20" s="266"/>
      <c r="K20" s="239"/>
      <c r="L20" s="313"/>
      <c r="M20" s="285">
        <v>415000</v>
      </c>
      <c r="N20" s="246"/>
      <c r="O20" s="263"/>
      <c r="P20" s="221"/>
      <c r="Q20" s="104"/>
      <c r="T20" s="104"/>
      <c r="V20" s="112"/>
    </row>
    <row r="21" spans="6:22" ht="23.25">
      <c r="F21" s="251" t="s">
        <v>281</v>
      </c>
      <c r="G21" s="268"/>
      <c r="H21" s="268"/>
      <c r="I21" s="269"/>
      <c r="J21" s="270"/>
      <c r="K21" s="268"/>
      <c r="L21" s="310"/>
      <c r="M21" s="248">
        <f>T126</f>
        <v>121600</v>
      </c>
      <c r="N21" s="247">
        <f>U126</f>
        <v>5.640000000000001</v>
      </c>
      <c r="O21" s="10"/>
      <c r="P21" s="221"/>
      <c r="Q21" s="104"/>
      <c r="T21" s="104"/>
      <c r="V21" s="112"/>
    </row>
    <row r="22" spans="2:28" s="255" customFormat="1" ht="23.25">
      <c r="B22" s="373"/>
      <c r="F22" s="272" t="s">
        <v>286</v>
      </c>
      <c r="G22" s="278"/>
      <c r="H22" s="278"/>
      <c r="I22" s="279"/>
      <c r="J22" s="280"/>
      <c r="K22" s="261"/>
      <c r="L22" s="314"/>
      <c r="M22" s="249">
        <f>M20-M21</f>
        <v>293400</v>
      </c>
      <c r="N22" s="245"/>
      <c r="O22" s="262"/>
      <c r="P22" s="256"/>
      <c r="Q22" s="257"/>
      <c r="S22" s="8"/>
      <c r="T22" s="257"/>
      <c r="U22" s="258"/>
      <c r="V22" s="259"/>
      <c r="W22" s="8"/>
      <c r="X22" s="8"/>
      <c r="Z22" s="260"/>
      <c r="AA22" s="260"/>
      <c r="AB22" s="260"/>
    </row>
    <row r="23" spans="6:22" ht="23.25">
      <c r="F23" s="240"/>
      <c r="G23" s="240"/>
      <c r="H23" s="240"/>
      <c r="I23" s="238"/>
      <c r="J23" s="271"/>
      <c r="K23" s="241"/>
      <c r="L23" s="311"/>
      <c r="M23" s="243"/>
      <c r="N23" s="240"/>
      <c r="O23" s="263"/>
      <c r="P23" s="221"/>
      <c r="Q23" s="104"/>
      <c r="T23" s="104"/>
      <c r="V23" s="112"/>
    </row>
    <row r="24" spans="6:22" ht="23.25">
      <c r="F24" s="104"/>
      <c r="G24" s="104"/>
      <c r="H24" s="104"/>
      <c r="I24" s="104"/>
      <c r="J24" s="104"/>
      <c r="K24" s="104"/>
      <c r="L24" s="287"/>
      <c r="M24" s="104"/>
      <c r="N24" s="221"/>
      <c r="O24" s="263"/>
      <c r="P24" s="221"/>
      <c r="Q24" s="104"/>
      <c r="T24" s="104"/>
      <c r="V24" s="112"/>
    </row>
    <row r="25" spans="3:22" ht="15">
      <c r="C25" s="74"/>
      <c r="D25" s="74"/>
      <c r="E25" s="103"/>
      <c r="F25" s="104"/>
      <c r="G25" s="13"/>
      <c r="H25" s="103"/>
      <c r="I25" s="112"/>
      <c r="M25" s="74"/>
      <c r="N25" s="74"/>
      <c r="O25" s="74"/>
      <c r="P25" s="74"/>
      <c r="Q25" s="74"/>
      <c r="R25" s="74"/>
      <c r="T25" s="104"/>
      <c r="V25" s="112"/>
    </row>
    <row r="26" spans="3:25" ht="18.75" thickBot="1">
      <c r="C26" s="110"/>
      <c r="D26" s="104"/>
      <c r="E26" s="103"/>
      <c r="F26" s="104"/>
      <c r="G26" s="13"/>
      <c r="J26" s="104"/>
      <c r="K26" s="104"/>
      <c r="L26" s="287"/>
      <c r="M26" s="74"/>
      <c r="N26" s="74"/>
      <c r="O26" s="74"/>
      <c r="P26" s="74"/>
      <c r="Q26" s="74"/>
      <c r="R26" s="74"/>
      <c r="S26" s="112"/>
      <c r="T26" s="104"/>
      <c r="U26" s="111"/>
      <c r="V26" s="112"/>
      <c r="W26" s="112"/>
      <c r="X26" s="112"/>
      <c r="Y26" s="104"/>
    </row>
    <row r="27" spans="2:28" s="6" customFormat="1" ht="15.75" thickBot="1">
      <c r="B27" s="374"/>
      <c r="I27" s="223"/>
      <c r="J27" s="119"/>
      <c r="K27" s="119"/>
      <c r="L27" s="315"/>
      <c r="M27" s="119"/>
      <c r="N27" s="122"/>
      <c r="O27" s="122"/>
      <c r="P27" s="122"/>
      <c r="Q27" s="122"/>
      <c r="R27" s="120"/>
      <c r="S27" s="115"/>
      <c r="T27" s="114"/>
      <c r="U27" s="114"/>
      <c r="V27" s="114"/>
      <c r="W27" s="445" t="s">
        <v>83</v>
      </c>
      <c r="X27" s="446"/>
      <c r="Y27" s="113" t="s">
        <v>38</v>
      </c>
      <c r="Z27" s="7"/>
      <c r="AA27" s="7"/>
      <c r="AB27" s="7"/>
    </row>
    <row r="28" spans="1:27" ht="67.5" customHeight="1" thickBot="1">
      <c r="A28" s="377" t="s">
        <v>429</v>
      </c>
      <c r="B28" s="377" t="s">
        <v>428</v>
      </c>
      <c r="C28" s="50" t="s">
        <v>37</v>
      </c>
      <c r="D28" s="51" t="s">
        <v>416</v>
      </c>
      <c r="E28" s="52" t="s">
        <v>33</v>
      </c>
      <c r="F28" s="53" t="s">
        <v>34</v>
      </c>
      <c r="G28" s="52" t="s">
        <v>35</v>
      </c>
      <c r="H28" s="54" t="s">
        <v>36</v>
      </c>
      <c r="I28" s="56" t="s">
        <v>188</v>
      </c>
      <c r="J28" s="53" t="s">
        <v>81</v>
      </c>
      <c r="K28" s="317" t="s">
        <v>85</v>
      </c>
      <c r="L28" s="316" t="s">
        <v>283</v>
      </c>
      <c r="M28" s="70" t="s">
        <v>78</v>
      </c>
      <c r="N28" s="121" t="s">
        <v>283</v>
      </c>
      <c r="O28" s="121" t="s">
        <v>284</v>
      </c>
      <c r="P28" s="121" t="s">
        <v>283</v>
      </c>
      <c r="Q28" s="121" t="s">
        <v>80</v>
      </c>
      <c r="R28" s="56" t="s">
        <v>283</v>
      </c>
      <c r="S28" s="54" t="s">
        <v>307</v>
      </c>
      <c r="T28" s="53" t="s">
        <v>79</v>
      </c>
      <c r="U28" s="55" t="s">
        <v>285</v>
      </c>
      <c r="V28" s="53" t="s">
        <v>108</v>
      </c>
      <c r="W28" s="60" t="s">
        <v>40</v>
      </c>
      <c r="X28" s="56" t="s">
        <v>84</v>
      </c>
      <c r="Y28" s="113" t="s">
        <v>38</v>
      </c>
      <c r="Z28" s="8"/>
      <c r="AA28" s="8"/>
    </row>
    <row r="29" spans="1:27" ht="42.75">
      <c r="A29" s="372" t="s">
        <v>380</v>
      </c>
      <c r="B29" s="372" t="s">
        <v>6</v>
      </c>
      <c r="C29" s="46" t="s">
        <v>267</v>
      </c>
      <c r="D29" s="47">
        <v>39493</v>
      </c>
      <c r="E29" s="17" t="s">
        <v>4</v>
      </c>
      <c r="F29" s="17" t="s">
        <v>5</v>
      </c>
      <c r="G29" s="17" t="s">
        <v>42</v>
      </c>
      <c r="H29" s="48" t="s">
        <v>97</v>
      </c>
      <c r="I29" s="224" t="s">
        <v>6</v>
      </c>
      <c r="J29" s="49">
        <v>39568</v>
      </c>
      <c r="K29" s="318">
        <v>26367</v>
      </c>
      <c r="L29" s="334">
        <v>1</v>
      </c>
      <c r="M29" s="318">
        <v>0</v>
      </c>
      <c r="N29" s="350">
        <v>0</v>
      </c>
      <c r="O29" s="350">
        <v>0</v>
      </c>
      <c r="P29" s="350">
        <v>0</v>
      </c>
      <c r="Q29" s="356">
        <f aca="true" t="shared" si="0" ref="Q29:R34">K29+M29+O29</f>
        <v>26367</v>
      </c>
      <c r="R29" s="358">
        <f t="shared" si="0"/>
        <v>1</v>
      </c>
      <c r="S29" s="393" t="s">
        <v>287</v>
      </c>
      <c r="T29" s="360">
        <v>25600</v>
      </c>
      <c r="U29" s="361">
        <v>1.23</v>
      </c>
      <c r="V29" s="228" t="s">
        <v>86</v>
      </c>
      <c r="W29" s="61">
        <v>44510</v>
      </c>
      <c r="X29" s="91" t="s">
        <v>142</v>
      </c>
      <c r="Y29" s="79" t="s">
        <v>143</v>
      </c>
      <c r="Z29" s="381">
        <v>39546</v>
      </c>
      <c r="AA29" s="11"/>
    </row>
    <row r="30" spans="1:27" s="9" customFormat="1" ht="42.75">
      <c r="A30" s="372" t="s">
        <v>380</v>
      </c>
      <c r="B30" s="372" t="s">
        <v>6</v>
      </c>
      <c r="C30" s="90" t="s">
        <v>383</v>
      </c>
      <c r="D30" s="5">
        <v>39493</v>
      </c>
      <c r="E30" s="4" t="s">
        <v>185</v>
      </c>
      <c r="F30" s="4" t="s">
        <v>5</v>
      </c>
      <c r="G30" s="4" t="s">
        <v>3</v>
      </c>
      <c r="H30" s="42" t="s">
        <v>97</v>
      </c>
      <c r="I30" s="57" t="s">
        <v>45</v>
      </c>
      <c r="J30" s="22" t="s">
        <v>41</v>
      </c>
      <c r="K30" s="319">
        <f>25049+31295</f>
        <v>56344</v>
      </c>
      <c r="L30" s="335">
        <v>2</v>
      </c>
      <c r="M30" s="320">
        <v>-56344</v>
      </c>
      <c r="N30" s="351">
        <v>-2</v>
      </c>
      <c r="O30" s="351">
        <v>0</v>
      </c>
      <c r="P30" s="351">
        <v>0</v>
      </c>
      <c r="Q30" s="356">
        <f t="shared" si="0"/>
        <v>0</v>
      </c>
      <c r="R30" s="358">
        <f t="shared" si="0"/>
        <v>0</v>
      </c>
      <c r="S30" s="396" t="s">
        <v>287</v>
      </c>
      <c r="T30" s="321">
        <v>0</v>
      </c>
      <c r="U30" s="362">
        <v>0</v>
      </c>
      <c r="V30" s="229" t="s">
        <v>87</v>
      </c>
      <c r="W30" s="62">
        <v>45510</v>
      </c>
      <c r="X30" s="92" t="s">
        <v>41</v>
      </c>
      <c r="Y30" s="87" t="s">
        <v>184</v>
      </c>
      <c r="Z30" s="11"/>
      <c r="AA30" s="11"/>
    </row>
    <row r="31" spans="1:27" ht="48" customHeight="1">
      <c r="A31" s="372" t="s">
        <v>380</v>
      </c>
      <c r="B31" s="372" t="s">
        <v>6</v>
      </c>
      <c r="C31" s="35" t="s">
        <v>384</v>
      </c>
      <c r="D31" s="2"/>
      <c r="E31" s="2" t="s">
        <v>0</v>
      </c>
      <c r="F31" s="2" t="s">
        <v>1</v>
      </c>
      <c r="G31" s="2" t="s">
        <v>2</v>
      </c>
      <c r="H31" s="43" t="s">
        <v>98</v>
      </c>
      <c r="I31" s="92" t="s">
        <v>6</v>
      </c>
      <c r="J31" s="23">
        <v>39514</v>
      </c>
      <c r="K31" s="320">
        <f>18770+18267+18267</f>
        <v>55304</v>
      </c>
      <c r="L31" s="336">
        <v>3</v>
      </c>
      <c r="M31" s="320">
        <v>0</v>
      </c>
      <c r="N31" s="351">
        <v>0</v>
      </c>
      <c r="O31" s="351">
        <v>0</v>
      </c>
      <c r="P31" s="351">
        <v>0</v>
      </c>
      <c r="Q31" s="356">
        <f t="shared" si="0"/>
        <v>55304</v>
      </c>
      <c r="R31" s="358">
        <f t="shared" si="0"/>
        <v>3</v>
      </c>
      <c r="S31" s="392" t="s">
        <v>288</v>
      </c>
      <c r="T31" s="321">
        <v>0</v>
      </c>
      <c r="U31" s="363">
        <v>0</v>
      </c>
      <c r="V31" s="230">
        <v>39518</v>
      </c>
      <c r="W31" s="63">
        <v>11810</v>
      </c>
      <c r="X31" s="93" t="s">
        <v>41</v>
      </c>
      <c r="Y31" s="81" t="s">
        <v>114</v>
      </c>
      <c r="Z31" s="382">
        <v>39518</v>
      </c>
      <c r="AA31" s="12"/>
    </row>
    <row r="32" spans="1:27" ht="46.5" customHeight="1">
      <c r="A32" s="372" t="s">
        <v>380</v>
      </c>
      <c r="B32" s="372" t="s">
        <v>6</v>
      </c>
      <c r="C32" s="34" t="s">
        <v>268</v>
      </c>
      <c r="D32" s="5">
        <v>39498</v>
      </c>
      <c r="E32" s="3" t="s">
        <v>7</v>
      </c>
      <c r="F32" s="3" t="s">
        <v>8</v>
      </c>
      <c r="G32" s="3" t="s">
        <v>9</v>
      </c>
      <c r="H32" s="42" t="s">
        <v>39</v>
      </c>
      <c r="I32" s="57" t="s">
        <v>6</v>
      </c>
      <c r="J32" s="22">
        <v>39472</v>
      </c>
      <c r="K32" s="321">
        <v>23075</v>
      </c>
      <c r="L32" s="337">
        <v>1.3</v>
      </c>
      <c r="M32" s="321">
        <v>0</v>
      </c>
      <c r="N32" s="352">
        <v>0</v>
      </c>
      <c r="O32" s="352">
        <v>0</v>
      </c>
      <c r="P32" s="352">
        <v>0</v>
      </c>
      <c r="Q32" s="356">
        <f t="shared" si="0"/>
        <v>23075</v>
      </c>
      <c r="R32" s="358">
        <f t="shared" si="0"/>
        <v>1.3</v>
      </c>
      <c r="S32" s="394" t="s">
        <v>292</v>
      </c>
      <c r="T32" s="321">
        <v>13900</v>
      </c>
      <c r="U32" s="364">
        <v>1.3</v>
      </c>
      <c r="V32" s="229" t="s">
        <v>88</v>
      </c>
      <c r="W32" s="63" t="s">
        <v>47</v>
      </c>
      <c r="X32" s="92" t="s">
        <v>144</v>
      </c>
      <c r="Y32" s="80" t="s">
        <v>89</v>
      </c>
      <c r="Z32" s="381">
        <v>39504</v>
      </c>
      <c r="AA32" s="11"/>
    </row>
    <row r="33" spans="1:27" ht="42.75">
      <c r="A33" s="372" t="s">
        <v>380</v>
      </c>
      <c r="B33" s="372" t="s">
        <v>6</v>
      </c>
      <c r="C33" s="88" t="s">
        <v>385</v>
      </c>
      <c r="D33" s="15">
        <v>39498</v>
      </c>
      <c r="E33" s="2" t="s">
        <v>10</v>
      </c>
      <c r="F33" s="2" t="s">
        <v>12</v>
      </c>
      <c r="G33" s="2" t="s">
        <v>11</v>
      </c>
      <c r="H33" s="43" t="s">
        <v>98</v>
      </c>
      <c r="I33" s="92" t="s">
        <v>45</v>
      </c>
      <c r="J33" s="23">
        <v>39539</v>
      </c>
      <c r="K33" s="319">
        <v>27000</v>
      </c>
      <c r="L33" s="335">
        <f>21/37</f>
        <v>0.5675675675675675</v>
      </c>
      <c r="M33" s="320">
        <v>-27000</v>
      </c>
      <c r="N33" s="351">
        <f>ROUND(-21/37,2)</f>
        <v>-0.57</v>
      </c>
      <c r="O33" s="351">
        <v>0</v>
      </c>
      <c r="P33" s="351">
        <v>0</v>
      </c>
      <c r="Q33" s="356">
        <f t="shared" si="0"/>
        <v>0</v>
      </c>
      <c r="R33" s="358">
        <f t="shared" si="0"/>
        <v>-0.0024324324324324076</v>
      </c>
      <c r="S33" s="397" t="s">
        <v>289</v>
      </c>
      <c r="T33" s="320">
        <v>0</v>
      </c>
      <c r="U33" s="363">
        <v>0</v>
      </c>
      <c r="V33" s="229" t="s">
        <v>103</v>
      </c>
      <c r="W33" s="63">
        <v>21550</v>
      </c>
      <c r="X33" s="92" t="s">
        <v>41</v>
      </c>
      <c r="Y33" s="87" t="s">
        <v>311</v>
      </c>
      <c r="Z33" s="381">
        <v>39518</v>
      </c>
      <c r="AA33" s="11"/>
    </row>
    <row r="34" spans="1:27" ht="42.75">
      <c r="A34" s="372" t="s">
        <v>380</v>
      </c>
      <c r="B34" s="372" t="s">
        <v>6</v>
      </c>
      <c r="C34" s="37" t="s">
        <v>386</v>
      </c>
      <c r="D34" s="15">
        <v>39468</v>
      </c>
      <c r="E34" s="2" t="s">
        <v>13</v>
      </c>
      <c r="F34" s="2" t="s">
        <v>14</v>
      </c>
      <c r="G34" s="2" t="s">
        <v>15</v>
      </c>
      <c r="H34" s="43" t="s">
        <v>98</v>
      </c>
      <c r="I34" s="92" t="s">
        <v>6</v>
      </c>
      <c r="J34" s="23">
        <v>39496</v>
      </c>
      <c r="K34" s="320">
        <v>23400</v>
      </c>
      <c r="L34" s="336">
        <v>1</v>
      </c>
      <c r="M34" s="320">
        <v>0</v>
      </c>
      <c r="N34" s="351">
        <v>0</v>
      </c>
      <c r="O34" s="351">
        <v>0</v>
      </c>
      <c r="P34" s="351">
        <v>0</v>
      </c>
      <c r="Q34" s="356">
        <f t="shared" si="0"/>
        <v>23400</v>
      </c>
      <c r="R34" s="358">
        <f t="shared" si="0"/>
        <v>1</v>
      </c>
      <c r="S34" s="386" t="s">
        <v>290</v>
      </c>
      <c r="T34" s="320" t="s">
        <v>366</v>
      </c>
      <c r="U34" s="363" t="s">
        <v>366</v>
      </c>
      <c r="V34" s="230" t="s">
        <v>366</v>
      </c>
      <c r="W34" s="63">
        <v>18010</v>
      </c>
      <c r="X34" s="92" t="s">
        <v>366</v>
      </c>
      <c r="Y34" s="82" t="s">
        <v>145</v>
      </c>
      <c r="Z34" s="381">
        <v>39532</v>
      </c>
      <c r="AA34" s="11"/>
    </row>
    <row r="35" spans="1:27" ht="28.5">
      <c r="A35" s="372" t="s">
        <v>430</v>
      </c>
      <c r="B35" s="372" t="s">
        <v>41</v>
      </c>
      <c r="C35" s="3" t="s">
        <v>387</v>
      </c>
      <c r="D35" s="15">
        <v>39499</v>
      </c>
      <c r="E35" s="2" t="s">
        <v>147</v>
      </c>
      <c r="F35" s="2" t="s">
        <v>16</v>
      </c>
      <c r="G35" s="2" t="s">
        <v>17</v>
      </c>
      <c r="H35" s="43" t="s">
        <v>98</v>
      </c>
      <c r="I35" s="92"/>
      <c r="J35" s="23"/>
      <c r="K35" s="320"/>
      <c r="L35" s="336"/>
      <c r="M35" s="320"/>
      <c r="N35" s="351"/>
      <c r="O35" s="351"/>
      <c r="P35" s="351"/>
      <c r="Q35" s="357"/>
      <c r="R35" s="359">
        <f>+M35+K35</f>
        <v>0</v>
      </c>
      <c r="S35" s="58"/>
      <c r="T35" s="320" t="s">
        <v>366</v>
      </c>
      <c r="U35" s="363" t="s">
        <v>366</v>
      </c>
      <c r="V35" s="230" t="s">
        <v>366</v>
      </c>
      <c r="W35" s="63" t="s">
        <v>366</v>
      </c>
      <c r="X35" s="92" t="s">
        <v>41</v>
      </c>
      <c r="Y35" s="116" t="s">
        <v>146</v>
      </c>
      <c r="Z35" s="11"/>
      <c r="AA35" s="11"/>
    </row>
    <row r="36" spans="1:27" ht="28.5">
      <c r="A36" s="372" t="s">
        <v>430</v>
      </c>
      <c r="B36" s="372" t="s">
        <v>41</v>
      </c>
      <c r="C36" s="3" t="s">
        <v>388</v>
      </c>
      <c r="D36" s="1"/>
      <c r="E36" s="2" t="s">
        <v>18</v>
      </c>
      <c r="F36" s="2" t="s">
        <v>19</v>
      </c>
      <c r="G36" s="2" t="s">
        <v>21</v>
      </c>
      <c r="H36" s="43" t="s">
        <v>20</v>
      </c>
      <c r="I36" s="92"/>
      <c r="J36" s="23"/>
      <c r="K36" s="320"/>
      <c r="L36" s="336"/>
      <c r="M36" s="320"/>
      <c r="N36" s="351"/>
      <c r="O36" s="351"/>
      <c r="P36" s="351"/>
      <c r="Q36" s="357"/>
      <c r="R36" s="359">
        <f>+M36+K36</f>
        <v>0</v>
      </c>
      <c r="S36" s="58"/>
      <c r="T36" s="320" t="s">
        <v>366</v>
      </c>
      <c r="U36" s="363" t="s">
        <v>366</v>
      </c>
      <c r="V36" s="230" t="s">
        <v>366</v>
      </c>
      <c r="W36" s="63" t="s">
        <v>366</v>
      </c>
      <c r="X36" s="92" t="s">
        <v>41</v>
      </c>
      <c r="Y36" s="116" t="s">
        <v>148</v>
      </c>
      <c r="Z36" s="11"/>
      <c r="AA36" s="11"/>
    </row>
    <row r="37" spans="1:27" ht="28.5">
      <c r="A37" s="372" t="s">
        <v>380</v>
      </c>
      <c r="B37" s="372" t="s">
        <v>6</v>
      </c>
      <c r="C37" s="30" t="s">
        <v>269</v>
      </c>
      <c r="D37" s="15">
        <v>39520</v>
      </c>
      <c r="E37" s="2" t="s">
        <v>22</v>
      </c>
      <c r="F37" s="2" t="s">
        <v>23</v>
      </c>
      <c r="G37" s="2" t="s">
        <v>21</v>
      </c>
      <c r="H37" s="43" t="s">
        <v>20</v>
      </c>
      <c r="I37" s="92" t="s">
        <v>6</v>
      </c>
      <c r="J37" s="23">
        <v>39517</v>
      </c>
      <c r="K37" s="320">
        <v>38000</v>
      </c>
      <c r="L37" s="336">
        <v>1</v>
      </c>
      <c r="M37" s="320">
        <v>0</v>
      </c>
      <c r="N37" s="351">
        <v>0</v>
      </c>
      <c r="O37" s="351">
        <v>0</v>
      </c>
      <c r="P37" s="351">
        <v>0</v>
      </c>
      <c r="Q37" s="356">
        <f aca="true" t="shared" si="1" ref="Q37:R51">K37+M37+O37</f>
        <v>38000</v>
      </c>
      <c r="R37" s="358">
        <f t="shared" si="1"/>
        <v>1</v>
      </c>
      <c r="S37" s="394" t="s">
        <v>291</v>
      </c>
      <c r="T37" s="320">
        <f>30600+2300+5300</f>
        <v>38200</v>
      </c>
      <c r="U37" s="365">
        <v>1</v>
      </c>
      <c r="V37" s="229" t="s">
        <v>103</v>
      </c>
      <c r="W37" s="63">
        <v>21800</v>
      </c>
      <c r="X37" s="92" t="s">
        <v>150</v>
      </c>
      <c r="Y37" s="80" t="s">
        <v>134</v>
      </c>
      <c r="Z37" s="381">
        <v>39539</v>
      </c>
      <c r="AA37" s="11"/>
    </row>
    <row r="38" spans="1:27" ht="42.75">
      <c r="A38" s="372" t="s">
        <v>380</v>
      </c>
      <c r="B38" s="372" t="s">
        <v>6</v>
      </c>
      <c r="C38" s="88" t="s">
        <v>382</v>
      </c>
      <c r="D38" s="15">
        <v>39499</v>
      </c>
      <c r="E38" s="2" t="s">
        <v>24</v>
      </c>
      <c r="F38" s="2" t="s">
        <v>26</v>
      </c>
      <c r="G38" s="2" t="s">
        <v>25</v>
      </c>
      <c r="H38" s="43" t="s">
        <v>99</v>
      </c>
      <c r="I38" s="92" t="s">
        <v>45</v>
      </c>
      <c r="J38" s="22">
        <v>39504</v>
      </c>
      <c r="K38" s="319">
        <v>56000</v>
      </c>
      <c r="L38" s="335">
        <v>1</v>
      </c>
      <c r="M38" s="320">
        <v>-56000</v>
      </c>
      <c r="N38" s="351">
        <v>-1</v>
      </c>
      <c r="O38" s="351">
        <v>0</v>
      </c>
      <c r="P38" s="351">
        <v>0</v>
      </c>
      <c r="Q38" s="356">
        <f>K38+M38+O38</f>
        <v>0</v>
      </c>
      <c r="R38" s="358">
        <f>L38+N38+P38</f>
        <v>0</v>
      </c>
      <c r="S38" s="397" t="s">
        <v>292</v>
      </c>
      <c r="T38" s="320">
        <v>0</v>
      </c>
      <c r="U38" s="363">
        <v>0</v>
      </c>
      <c r="V38" s="230">
        <v>39504</v>
      </c>
      <c r="W38" s="63" t="s">
        <v>366</v>
      </c>
      <c r="X38" s="92" t="s">
        <v>41</v>
      </c>
      <c r="Y38" s="87" t="s">
        <v>46</v>
      </c>
      <c r="Z38" s="381">
        <v>39504</v>
      </c>
      <c r="AA38" s="11"/>
    </row>
    <row r="39" spans="1:27" ht="14.25">
      <c r="A39" s="372" t="s">
        <v>431</v>
      </c>
      <c r="B39" s="372" t="s">
        <v>45</v>
      </c>
      <c r="C39" s="36" t="s">
        <v>389</v>
      </c>
      <c r="D39" s="15">
        <v>39499</v>
      </c>
      <c r="E39" s="2" t="s">
        <v>27</v>
      </c>
      <c r="F39" s="2" t="s">
        <v>28</v>
      </c>
      <c r="G39" s="2" t="s">
        <v>29</v>
      </c>
      <c r="H39" s="43" t="s">
        <v>98</v>
      </c>
      <c r="I39" s="409"/>
      <c r="J39" s="410"/>
      <c r="K39" s="411"/>
      <c r="L39" s="412"/>
      <c r="M39" s="411"/>
      <c r="N39" s="413"/>
      <c r="O39" s="413"/>
      <c r="P39" s="413"/>
      <c r="Q39" s="414">
        <f t="shared" si="1"/>
        <v>0</v>
      </c>
      <c r="R39" s="415">
        <f t="shared" si="1"/>
        <v>0</v>
      </c>
      <c r="S39" s="416"/>
      <c r="T39" s="411"/>
      <c r="U39" s="417"/>
      <c r="V39" s="418"/>
      <c r="W39" s="419"/>
      <c r="X39" s="409"/>
      <c r="Y39" s="83" t="s">
        <v>189</v>
      </c>
      <c r="Z39" s="11"/>
      <c r="AA39" s="11"/>
    </row>
    <row r="40" spans="1:27" ht="42.75">
      <c r="A40" s="372" t="s">
        <v>380</v>
      </c>
      <c r="B40" s="372" t="s">
        <v>6</v>
      </c>
      <c r="C40" s="30" t="s">
        <v>266</v>
      </c>
      <c r="D40" s="15">
        <v>39500</v>
      </c>
      <c r="E40" s="2" t="s">
        <v>149</v>
      </c>
      <c r="F40" s="2" t="s">
        <v>30</v>
      </c>
      <c r="G40" s="2" t="s">
        <v>31</v>
      </c>
      <c r="H40" s="43" t="s">
        <v>98</v>
      </c>
      <c r="I40" s="92" t="s">
        <v>6</v>
      </c>
      <c r="J40" s="23">
        <v>39539</v>
      </c>
      <c r="K40" s="320">
        <f>ROUND((20200/37*22.5),-2)</f>
        <v>12300</v>
      </c>
      <c r="L40" s="336">
        <v>0.61</v>
      </c>
      <c r="M40" s="320">
        <v>0</v>
      </c>
      <c r="N40" s="351">
        <v>0</v>
      </c>
      <c r="O40" s="351">
        <v>0</v>
      </c>
      <c r="P40" s="351">
        <v>0</v>
      </c>
      <c r="Q40" s="356">
        <f t="shared" si="1"/>
        <v>12300</v>
      </c>
      <c r="R40" s="358">
        <f t="shared" si="1"/>
        <v>0.61</v>
      </c>
      <c r="S40" s="394" t="s">
        <v>293</v>
      </c>
      <c r="T40" s="320">
        <f>K40</f>
        <v>12300</v>
      </c>
      <c r="U40" s="365">
        <f>L40</f>
        <v>0.61</v>
      </c>
      <c r="V40" s="230">
        <v>39539</v>
      </c>
      <c r="W40" s="63">
        <v>12180</v>
      </c>
      <c r="X40" s="92" t="s">
        <v>326</v>
      </c>
      <c r="Y40" s="80" t="s">
        <v>259</v>
      </c>
      <c r="Z40" s="381">
        <v>39672</v>
      </c>
      <c r="AA40" s="11"/>
    </row>
    <row r="41" spans="1:27" ht="42.75" customHeight="1">
      <c r="A41" s="372" t="s">
        <v>380</v>
      </c>
      <c r="B41" s="372" t="s">
        <v>6</v>
      </c>
      <c r="C41" s="37" t="s">
        <v>390</v>
      </c>
      <c r="D41" s="15">
        <v>39503</v>
      </c>
      <c r="E41" s="2" t="s">
        <v>49</v>
      </c>
      <c r="F41" s="2" t="s">
        <v>50</v>
      </c>
      <c r="G41" s="2" t="s">
        <v>51</v>
      </c>
      <c r="H41" s="43" t="s">
        <v>20</v>
      </c>
      <c r="I41" s="92" t="s">
        <v>6</v>
      </c>
      <c r="J41" s="23" t="s">
        <v>366</v>
      </c>
      <c r="K41" s="320">
        <v>28300</v>
      </c>
      <c r="L41" s="336">
        <v>0.8</v>
      </c>
      <c r="M41" s="320">
        <v>0</v>
      </c>
      <c r="N41" s="351">
        <v>0</v>
      </c>
      <c r="O41" s="351">
        <v>0</v>
      </c>
      <c r="P41" s="351">
        <v>0</v>
      </c>
      <c r="Q41" s="356">
        <f t="shared" si="1"/>
        <v>28300</v>
      </c>
      <c r="R41" s="358">
        <f t="shared" si="1"/>
        <v>0.8</v>
      </c>
      <c r="S41" s="386" t="s">
        <v>374</v>
      </c>
      <c r="T41" s="320">
        <v>500</v>
      </c>
      <c r="U41" s="363">
        <v>0</v>
      </c>
      <c r="V41" s="230">
        <v>39539</v>
      </c>
      <c r="W41" s="63">
        <v>35200</v>
      </c>
      <c r="X41" s="92" t="s">
        <v>151</v>
      </c>
      <c r="Y41" s="82" t="s">
        <v>135</v>
      </c>
      <c r="Z41" s="381">
        <v>39539</v>
      </c>
      <c r="AA41" s="11"/>
    </row>
    <row r="42" spans="1:27" ht="71.25">
      <c r="A42" s="372" t="s">
        <v>380</v>
      </c>
      <c r="B42" s="372" t="s">
        <v>6</v>
      </c>
      <c r="C42" s="37" t="s">
        <v>391</v>
      </c>
      <c r="D42" s="15">
        <v>39503</v>
      </c>
      <c r="E42" s="2" t="s">
        <v>52</v>
      </c>
      <c r="F42" s="2" t="s">
        <v>74</v>
      </c>
      <c r="G42" s="2" t="s">
        <v>25</v>
      </c>
      <c r="H42" s="43" t="s">
        <v>99</v>
      </c>
      <c r="I42" s="92" t="s">
        <v>6</v>
      </c>
      <c r="J42" s="23">
        <v>39535</v>
      </c>
      <c r="K42" s="320">
        <v>19053</v>
      </c>
      <c r="L42" s="336">
        <v>1</v>
      </c>
      <c r="M42" s="320">
        <v>0</v>
      </c>
      <c r="N42" s="351">
        <v>0</v>
      </c>
      <c r="O42" s="351">
        <v>0</v>
      </c>
      <c r="P42" s="351">
        <v>0</v>
      </c>
      <c r="Q42" s="356">
        <f t="shared" si="1"/>
        <v>19053</v>
      </c>
      <c r="R42" s="358">
        <f t="shared" si="1"/>
        <v>1</v>
      </c>
      <c r="S42" s="386" t="s">
        <v>288</v>
      </c>
      <c r="T42" s="320">
        <v>0</v>
      </c>
      <c r="U42" s="363" t="s">
        <v>366</v>
      </c>
      <c r="V42" s="230">
        <v>39518</v>
      </c>
      <c r="W42" s="63" t="s">
        <v>366</v>
      </c>
      <c r="X42" s="92" t="s">
        <v>41</v>
      </c>
      <c r="Y42" s="125" t="s">
        <v>194</v>
      </c>
      <c r="Z42" s="381">
        <v>39518</v>
      </c>
      <c r="AA42" s="11"/>
    </row>
    <row r="43" spans="1:27" ht="42.75">
      <c r="A43" s="372" t="s">
        <v>380</v>
      </c>
      <c r="B43" s="372" t="s">
        <v>6</v>
      </c>
      <c r="C43" s="97" t="s">
        <v>392</v>
      </c>
      <c r="D43" s="15">
        <v>39504</v>
      </c>
      <c r="E43" s="2" t="s">
        <v>53</v>
      </c>
      <c r="F43" s="2" t="s">
        <v>32</v>
      </c>
      <c r="G43" s="2" t="s">
        <v>31</v>
      </c>
      <c r="H43" s="43" t="s">
        <v>98</v>
      </c>
      <c r="I43" s="92" t="s">
        <v>45</v>
      </c>
      <c r="J43" s="23">
        <v>39539</v>
      </c>
      <c r="K43" s="322">
        <v>42000</v>
      </c>
      <c r="L43" s="338">
        <v>1</v>
      </c>
      <c r="M43" s="320">
        <v>0</v>
      </c>
      <c r="N43" s="351">
        <v>0</v>
      </c>
      <c r="O43" s="351">
        <v>-42000</v>
      </c>
      <c r="P43" s="351">
        <v>-1</v>
      </c>
      <c r="Q43" s="356">
        <f t="shared" si="1"/>
        <v>0</v>
      </c>
      <c r="R43" s="358">
        <f t="shared" si="1"/>
        <v>0</v>
      </c>
      <c r="S43" s="398" t="s">
        <v>373</v>
      </c>
      <c r="T43" s="320">
        <v>0</v>
      </c>
      <c r="U43" s="363">
        <v>0</v>
      </c>
      <c r="V43" s="230">
        <v>39539</v>
      </c>
      <c r="W43" s="63" t="s">
        <v>366</v>
      </c>
      <c r="X43" s="92" t="s">
        <v>41</v>
      </c>
      <c r="Y43" s="98" t="s">
        <v>48</v>
      </c>
      <c r="Z43" s="381">
        <v>39511</v>
      </c>
      <c r="AA43" s="11"/>
    </row>
    <row r="44" spans="1:27" ht="42.75">
      <c r="A44" s="372" t="s">
        <v>380</v>
      </c>
      <c r="B44" s="372" t="s">
        <v>6</v>
      </c>
      <c r="C44" s="88" t="s">
        <v>393</v>
      </c>
      <c r="D44" s="15">
        <v>39503</v>
      </c>
      <c r="E44" s="2" t="s">
        <v>54</v>
      </c>
      <c r="F44" s="2" t="s">
        <v>55</v>
      </c>
      <c r="G44" s="2" t="s">
        <v>56</v>
      </c>
      <c r="H44" s="43" t="s">
        <v>98</v>
      </c>
      <c r="I44" s="92" t="s">
        <v>6</v>
      </c>
      <c r="J44" s="23">
        <v>39526</v>
      </c>
      <c r="K44" s="411"/>
      <c r="L44" s="335">
        <v>1</v>
      </c>
      <c r="M44" s="411">
        <f>-K44</f>
        <v>0</v>
      </c>
      <c r="N44" s="351">
        <f>-L44</f>
        <v>-1</v>
      </c>
      <c r="O44" s="351">
        <v>0</v>
      </c>
      <c r="P44" s="351">
        <v>0</v>
      </c>
      <c r="Q44" s="356">
        <f t="shared" si="1"/>
        <v>0</v>
      </c>
      <c r="R44" s="358">
        <f t="shared" si="1"/>
        <v>0</v>
      </c>
      <c r="S44" s="397" t="s">
        <v>295</v>
      </c>
      <c r="T44" s="320">
        <v>0</v>
      </c>
      <c r="U44" s="363">
        <v>0</v>
      </c>
      <c r="V44" s="231">
        <v>39686</v>
      </c>
      <c r="W44" s="63" t="s">
        <v>366</v>
      </c>
      <c r="X44" s="92" t="s">
        <v>366</v>
      </c>
      <c r="Y44" s="87" t="s">
        <v>256</v>
      </c>
      <c r="Z44" s="381">
        <v>39686</v>
      </c>
      <c r="AA44" s="11"/>
    </row>
    <row r="45" spans="1:27" ht="28.5">
      <c r="A45" s="372" t="s">
        <v>430</v>
      </c>
      <c r="B45" s="372" t="s">
        <v>41</v>
      </c>
      <c r="C45" s="3" t="s">
        <v>394</v>
      </c>
      <c r="D45" s="15">
        <v>39505</v>
      </c>
      <c r="E45" s="2" t="s">
        <v>57</v>
      </c>
      <c r="F45" s="2" t="s">
        <v>75</v>
      </c>
      <c r="G45" s="2" t="s">
        <v>3</v>
      </c>
      <c r="H45" s="43" t="s">
        <v>100</v>
      </c>
      <c r="I45" s="92"/>
      <c r="J45" s="23"/>
      <c r="K45" s="320"/>
      <c r="L45" s="336"/>
      <c r="M45" s="320"/>
      <c r="N45" s="351"/>
      <c r="O45" s="351"/>
      <c r="P45" s="351"/>
      <c r="Q45" s="356">
        <f t="shared" si="1"/>
        <v>0</v>
      </c>
      <c r="R45" s="358">
        <f t="shared" si="1"/>
        <v>0</v>
      </c>
      <c r="S45" s="58"/>
      <c r="T45" s="320"/>
      <c r="U45" s="363"/>
      <c r="V45" s="230"/>
      <c r="W45" s="63"/>
      <c r="X45" s="92"/>
      <c r="Y45" s="116" t="s">
        <v>312</v>
      </c>
      <c r="Z45" s="11"/>
      <c r="AA45" s="11"/>
    </row>
    <row r="46" spans="1:27" ht="42.75">
      <c r="A46" s="372" t="s">
        <v>380</v>
      </c>
      <c r="B46" s="372" t="s">
        <v>6</v>
      </c>
      <c r="C46" s="37" t="s">
        <v>395</v>
      </c>
      <c r="D46" s="15">
        <v>39506</v>
      </c>
      <c r="E46" s="2" t="s">
        <v>58</v>
      </c>
      <c r="F46" s="2" t="s">
        <v>73</v>
      </c>
      <c r="G46" s="2" t="s">
        <v>59</v>
      </c>
      <c r="H46" s="43" t="s">
        <v>98</v>
      </c>
      <c r="I46" s="92" t="s">
        <v>45</v>
      </c>
      <c r="J46" s="23">
        <v>39479</v>
      </c>
      <c r="K46" s="320">
        <v>21000</v>
      </c>
      <c r="L46" s="336" t="s">
        <v>403</v>
      </c>
      <c r="M46" s="320">
        <v>0</v>
      </c>
      <c r="N46" s="351">
        <v>0</v>
      </c>
      <c r="O46" s="351">
        <v>0</v>
      </c>
      <c r="P46" s="351">
        <v>0</v>
      </c>
      <c r="Q46" s="356">
        <f t="shared" si="1"/>
        <v>21000</v>
      </c>
      <c r="R46" s="358" t="s">
        <v>403</v>
      </c>
      <c r="S46" s="386" t="s">
        <v>296</v>
      </c>
      <c r="T46" s="320">
        <v>0</v>
      </c>
      <c r="U46" s="363">
        <v>0</v>
      </c>
      <c r="V46" s="230">
        <v>39525</v>
      </c>
      <c r="W46" s="63" t="s">
        <v>366</v>
      </c>
      <c r="X46" s="92" t="s">
        <v>41</v>
      </c>
      <c r="Y46" s="82" t="s">
        <v>94</v>
      </c>
      <c r="Z46" s="381">
        <v>39525</v>
      </c>
      <c r="AA46" s="11"/>
    </row>
    <row r="47" spans="1:27" ht="42.75">
      <c r="A47" s="372" t="s">
        <v>380</v>
      </c>
      <c r="B47" s="372" t="s">
        <v>6</v>
      </c>
      <c r="C47" s="88" t="s">
        <v>396</v>
      </c>
      <c r="D47" s="15">
        <v>39507</v>
      </c>
      <c r="E47" s="2" t="s">
        <v>72</v>
      </c>
      <c r="F47" s="2" t="s">
        <v>74</v>
      </c>
      <c r="G47" s="2" t="s">
        <v>25</v>
      </c>
      <c r="H47" s="43" t="s">
        <v>99</v>
      </c>
      <c r="I47" s="92" t="s">
        <v>6</v>
      </c>
      <c r="J47" s="23">
        <v>39506</v>
      </c>
      <c r="K47" s="319">
        <v>26400</v>
      </c>
      <c r="L47" s="335">
        <v>1</v>
      </c>
      <c r="M47" s="320">
        <v>-26400</v>
      </c>
      <c r="N47" s="351">
        <v>-1</v>
      </c>
      <c r="O47" s="351">
        <v>0</v>
      </c>
      <c r="P47" s="351">
        <v>0</v>
      </c>
      <c r="Q47" s="356">
        <f t="shared" si="1"/>
        <v>0</v>
      </c>
      <c r="R47" s="358">
        <f t="shared" si="1"/>
        <v>0</v>
      </c>
      <c r="S47" s="397" t="s">
        <v>288</v>
      </c>
      <c r="T47" s="320">
        <v>0</v>
      </c>
      <c r="U47" s="363">
        <v>0</v>
      </c>
      <c r="V47" s="230">
        <v>39518</v>
      </c>
      <c r="W47" s="63" t="s">
        <v>366</v>
      </c>
      <c r="X47" s="92" t="s">
        <v>41</v>
      </c>
      <c r="Y47" s="87" t="s">
        <v>152</v>
      </c>
      <c r="Z47" s="11"/>
      <c r="AA47" s="11"/>
    </row>
    <row r="48" spans="1:27" ht="85.5">
      <c r="A48" s="372" t="s">
        <v>380</v>
      </c>
      <c r="B48" s="372" t="s">
        <v>6</v>
      </c>
      <c r="C48" s="37" t="s">
        <v>397</v>
      </c>
      <c r="D48" s="15">
        <v>39507</v>
      </c>
      <c r="E48" s="3" t="s">
        <v>60</v>
      </c>
      <c r="F48" s="3" t="s">
        <v>61</v>
      </c>
      <c r="G48" s="3" t="s">
        <v>62</v>
      </c>
      <c r="H48" s="43" t="s">
        <v>99</v>
      </c>
      <c r="I48" s="92" t="s">
        <v>6</v>
      </c>
      <c r="J48" s="23">
        <v>39507</v>
      </c>
      <c r="K48" s="320">
        <f>44100+2300</f>
        <v>46400</v>
      </c>
      <c r="L48" s="336">
        <v>1</v>
      </c>
      <c r="M48" s="320">
        <v>0</v>
      </c>
      <c r="N48" s="351">
        <v>0</v>
      </c>
      <c r="O48" s="351">
        <v>0</v>
      </c>
      <c r="P48" s="351">
        <v>0</v>
      </c>
      <c r="Q48" s="356">
        <f t="shared" si="1"/>
        <v>46400</v>
      </c>
      <c r="R48" s="358">
        <f t="shared" si="1"/>
        <v>1</v>
      </c>
      <c r="S48" s="386" t="s">
        <v>297</v>
      </c>
      <c r="T48" s="320">
        <v>0</v>
      </c>
      <c r="U48" s="363">
        <v>0</v>
      </c>
      <c r="V48" s="230">
        <v>39532</v>
      </c>
      <c r="W48" s="63" t="s">
        <v>366</v>
      </c>
      <c r="X48" s="92" t="s">
        <v>41</v>
      </c>
      <c r="Y48" s="125" t="s">
        <v>195</v>
      </c>
      <c r="Z48" s="381">
        <v>39518</v>
      </c>
      <c r="AA48" s="11"/>
    </row>
    <row r="49" spans="1:27" ht="28.5">
      <c r="A49" s="372" t="s">
        <v>380</v>
      </c>
      <c r="B49" s="372" t="s">
        <v>6</v>
      </c>
      <c r="C49" s="88" t="s">
        <v>398</v>
      </c>
      <c r="D49" s="15">
        <v>39512</v>
      </c>
      <c r="E49" s="3" t="s">
        <v>101</v>
      </c>
      <c r="F49" s="3" t="s">
        <v>12</v>
      </c>
      <c r="G49" s="3" t="s">
        <v>11</v>
      </c>
      <c r="H49" s="43" t="s">
        <v>98</v>
      </c>
      <c r="I49" s="92" t="s">
        <v>45</v>
      </c>
      <c r="J49" s="23" t="s">
        <v>41</v>
      </c>
      <c r="K49" s="319">
        <f>35000</f>
        <v>35000</v>
      </c>
      <c r="L49" s="335">
        <v>1.62</v>
      </c>
      <c r="M49" s="320">
        <f>-35000</f>
        <v>-35000</v>
      </c>
      <c r="N49" s="351">
        <v>-1.62</v>
      </c>
      <c r="O49" s="351">
        <v>0</v>
      </c>
      <c r="P49" s="351">
        <v>0</v>
      </c>
      <c r="Q49" s="356">
        <f t="shared" si="1"/>
        <v>0</v>
      </c>
      <c r="R49" s="358">
        <f t="shared" si="1"/>
        <v>0</v>
      </c>
      <c r="S49" s="397" t="s">
        <v>115</v>
      </c>
      <c r="T49" s="320">
        <v>0</v>
      </c>
      <c r="U49" s="363">
        <v>0</v>
      </c>
      <c r="V49" s="230">
        <v>39525</v>
      </c>
      <c r="W49" s="63" t="s">
        <v>366</v>
      </c>
      <c r="X49" s="92" t="s">
        <v>41</v>
      </c>
      <c r="Y49" s="87" t="s">
        <v>153</v>
      </c>
      <c r="Z49" s="381">
        <v>39525</v>
      </c>
      <c r="AA49" s="11"/>
    </row>
    <row r="50" spans="1:27" ht="71.25">
      <c r="A50" s="372" t="s">
        <v>380</v>
      </c>
      <c r="B50" s="372" t="s">
        <v>6</v>
      </c>
      <c r="C50" s="37" t="s">
        <v>399</v>
      </c>
      <c r="D50" s="15">
        <v>39512</v>
      </c>
      <c r="E50" s="2" t="s">
        <v>102</v>
      </c>
      <c r="F50" s="3" t="s">
        <v>61</v>
      </c>
      <c r="G50" s="2" t="s">
        <v>69</v>
      </c>
      <c r="H50" s="43" t="s">
        <v>99</v>
      </c>
      <c r="I50" s="92" t="s">
        <v>45</v>
      </c>
      <c r="J50" s="23" t="s">
        <v>41</v>
      </c>
      <c r="K50" s="320">
        <v>23500</v>
      </c>
      <c r="L50" s="336" t="s">
        <v>403</v>
      </c>
      <c r="M50" s="320">
        <v>0</v>
      </c>
      <c r="N50" s="351">
        <v>0</v>
      </c>
      <c r="O50" s="351">
        <v>0</v>
      </c>
      <c r="P50" s="351">
        <v>0</v>
      </c>
      <c r="Q50" s="356">
        <f t="shared" si="1"/>
        <v>23500</v>
      </c>
      <c r="R50" s="358" t="s">
        <v>403</v>
      </c>
      <c r="S50" s="386" t="s">
        <v>405</v>
      </c>
      <c r="T50" s="320">
        <v>0</v>
      </c>
      <c r="U50" s="363">
        <v>0</v>
      </c>
      <c r="V50" s="230">
        <v>39532</v>
      </c>
      <c r="W50" s="63" t="s">
        <v>366</v>
      </c>
      <c r="X50" s="92" t="s">
        <v>41</v>
      </c>
      <c r="Y50" s="125" t="s">
        <v>196</v>
      </c>
      <c r="Z50" s="381">
        <v>39532</v>
      </c>
      <c r="AA50" s="11"/>
    </row>
    <row r="51" spans="1:27" ht="42.75">
      <c r="A51" s="372" t="s">
        <v>380</v>
      </c>
      <c r="B51" s="372" t="s">
        <v>6</v>
      </c>
      <c r="C51" s="37" t="s">
        <v>400</v>
      </c>
      <c r="D51" s="15">
        <v>39513</v>
      </c>
      <c r="E51" s="2" t="s">
        <v>63</v>
      </c>
      <c r="F51" s="3" t="s">
        <v>43</v>
      </c>
      <c r="G51" s="3" t="s">
        <v>64</v>
      </c>
      <c r="H51" s="43" t="s">
        <v>98</v>
      </c>
      <c r="I51" s="92" t="s">
        <v>6</v>
      </c>
      <c r="J51" s="23">
        <v>39518</v>
      </c>
      <c r="K51" s="320">
        <v>16457</v>
      </c>
      <c r="L51" s="336">
        <v>1</v>
      </c>
      <c r="M51" s="320">
        <v>0</v>
      </c>
      <c r="N51" s="351">
        <v>0</v>
      </c>
      <c r="O51" s="351">
        <v>0</v>
      </c>
      <c r="P51" s="351">
        <v>0</v>
      </c>
      <c r="Q51" s="356">
        <f t="shared" si="1"/>
        <v>16457</v>
      </c>
      <c r="R51" s="358">
        <f t="shared" si="1"/>
        <v>1</v>
      </c>
      <c r="S51" s="386" t="s">
        <v>288</v>
      </c>
      <c r="T51" s="320">
        <v>0</v>
      </c>
      <c r="U51" s="363">
        <v>0</v>
      </c>
      <c r="V51" s="230">
        <v>39518</v>
      </c>
      <c r="W51" s="63" t="s">
        <v>366</v>
      </c>
      <c r="X51" s="92" t="s">
        <v>41</v>
      </c>
      <c r="Y51" s="82" t="s">
        <v>94</v>
      </c>
      <c r="Z51" s="381">
        <v>39518</v>
      </c>
      <c r="AA51" s="11"/>
    </row>
    <row r="52" spans="1:27" ht="42.75">
      <c r="A52" s="372" t="s">
        <v>380</v>
      </c>
      <c r="B52" s="372" t="s">
        <v>6</v>
      </c>
      <c r="C52" s="37" t="s">
        <v>401</v>
      </c>
      <c r="D52" s="15">
        <v>39514</v>
      </c>
      <c r="E52" s="2" t="s">
        <v>65</v>
      </c>
      <c r="F52" s="3" t="s">
        <v>61</v>
      </c>
      <c r="G52" s="3" t="s">
        <v>62</v>
      </c>
      <c r="H52" s="43" t="s">
        <v>99</v>
      </c>
      <c r="I52" s="92" t="s">
        <v>6</v>
      </c>
      <c r="J52" s="23">
        <v>39545</v>
      </c>
      <c r="K52" s="320">
        <f>44100+1000</f>
        <v>45100</v>
      </c>
      <c r="L52" s="336">
        <v>1</v>
      </c>
      <c r="M52" s="320">
        <v>0</v>
      </c>
      <c r="N52" s="351">
        <v>0</v>
      </c>
      <c r="O52" s="351">
        <v>0</v>
      </c>
      <c r="P52" s="351">
        <v>0</v>
      </c>
      <c r="Q52" s="356">
        <f aca="true" t="shared" si="2" ref="Q52:R67">K52+M52+O52</f>
        <v>45100</v>
      </c>
      <c r="R52" s="358">
        <f t="shared" si="2"/>
        <v>1</v>
      </c>
      <c r="S52" s="386" t="s">
        <v>297</v>
      </c>
      <c r="T52" s="320">
        <v>0</v>
      </c>
      <c r="U52" s="363">
        <v>0</v>
      </c>
      <c r="V52" s="230">
        <v>39532</v>
      </c>
      <c r="W52" s="63" t="s">
        <v>366</v>
      </c>
      <c r="X52" s="92" t="s">
        <v>41</v>
      </c>
      <c r="Y52" s="82" t="s">
        <v>94</v>
      </c>
      <c r="Z52" s="381">
        <v>39532</v>
      </c>
      <c r="AA52" s="11"/>
    </row>
    <row r="53" spans="1:27" ht="42.75">
      <c r="A53" s="372" t="s">
        <v>380</v>
      </c>
      <c r="B53" s="372" t="s">
        <v>6</v>
      </c>
      <c r="C53" s="88" t="s">
        <v>402</v>
      </c>
      <c r="D53" s="15">
        <v>39517</v>
      </c>
      <c r="E53" s="3" t="s">
        <v>193</v>
      </c>
      <c r="F53" s="3" t="s">
        <v>66</v>
      </c>
      <c r="G53" s="3" t="s">
        <v>15</v>
      </c>
      <c r="H53" s="43" t="s">
        <v>98</v>
      </c>
      <c r="I53" s="92" t="s">
        <v>6</v>
      </c>
      <c r="J53" s="23">
        <v>39563</v>
      </c>
      <c r="K53" s="319">
        <v>0</v>
      </c>
      <c r="L53" s="335">
        <v>0</v>
      </c>
      <c r="M53" s="320">
        <v>0</v>
      </c>
      <c r="N53" s="351">
        <f>-L53</f>
        <v>0</v>
      </c>
      <c r="O53" s="351">
        <v>0</v>
      </c>
      <c r="P53" s="351">
        <v>0</v>
      </c>
      <c r="Q53" s="356">
        <f t="shared" si="2"/>
        <v>0</v>
      </c>
      <c r="R53" s="358">
        <f t="shared" si="2"/>
        <v>0</v>
      </c>
      <c r="S53" s="397" t="s">
        <v>298</v>
      </c>
      <c r="T53" s="320">
        <v>0</v>
      </c>
      <c r="U53" s="363">
        <v>0</v>
      </c>
      <c r="V53" s="230">
        <v>39574</v>
      </c>
      <c r="W53" s="63" t="s">
        <v>366</v>
      </c>
      <c r="X53" s="92" t="s">
        <v>41</v>
      </c>
      <c r="Y53" s="87" t="s">
        <v>154</v>
      </c>
      <c r="Z53" s="381">
        <v>39574</v>
      </c>
      <c r="AA53" s="11"/>
    </row>
    <row r="54" spans="1:26" ht="42.75">
      <c r="A54" s="372" t="s">
        <v>380</v>
      </c>
      <c r="B54" s="372" t="s">
        <v>6</v>
      </c>
      <c r="C54" s="30" t="s">
        <v>70</v>
      </c>
      <c r="D54" s="15">
        <v>39534</v>
      </c>
      <c r="E54" s="2" t="s">
        <v>71</v>
      </c>
      <c r="F54" s="3" t="s">
        <v>67</v>
      </c>
      <c r="G54" s="2" t="s">
        <v>68</v>
      </c>
      <c r="H54" s="42" t="s">
        <v>20</v>
      </c>
      <c r="I54" s="57" t="s">
        <v>6</v>
      </c>
      <c r="J54" s="22">
        <v>39542</v>
      </c>
      <c r="K54" s="321">
        <v>10000</v>
      </c>
      <c r="L54" s="337">
        <f>0.5</f>
        <v>0.5</v>
      </c>
      <c r="M54" s="321">
        <v>0</v>
      </c>
      <c r="N54" s="352">
        <v>0</v>
      </c>
      <c r="O54" s="352">
        <v>0</v>
      </c>
      <c r="P54" s="352">
        <v>0</v>
      </c>
      <c r="Q54" s="356">
        <f t="shared" si="2"/>
        <v>10000</v>
      </c>
      <c r="R54" s="358">
        <f t="shared" si="2"/>
        <v>0.5</v>
      </c>
      <c r="S54" s="395" t="s">
        <v>291</v>
      </c>
      <c r="T54" s="369">
        <v>9900</v>
      </c>
      <c r="U54" s="364">
        <v>0.5</v>
      </c>
      <c r="V54" s="230">
        <v>39602</v>
      </c>
      <c r="W54" s="62">
        <v>35040</v>
      </c>
      <c r="X54" s="57" t="s">
        <v>150</v>
      </c>
      <c r="Y54" s="80" t="s">
        <v>138</v>
      </c>
      <c r="Z54" s="383">
        <v>39539</v>
      </c>
    </row>
    <row r="55" spans="1:25" ht="14.25">
      <c r="A55" s="372" t="s">
        <v>431</v>
      </c>
      <c r="B55" s="372" t="s">
        <v>45</v>
      </c>
      <c r="C55" s="36" t="s">
        <v>109</v>
      </c>
      <c r="D55" s="15">
        <v>39520</v>
      </c>
      <c r="E55" s="16" t="s">
        <v>186</v>
      </c>
      <c r="F55" s="16" t="s">
        <v>187</v>
      </c>
      <c r="G55" s="2" t="s">
        <v>15</v>
      </c>
      <c r="H55" s="44" t="s">
        <v>98</v>
      </c>
      <c r="I55" s="420"/>
      <c r="J55" s="421"/>
      <c r="K55" s="422"/>
      <c r="L55" s="423"/>
      <c r="M55" s="422"/>
      <c r="N55" s="424"/>
      <c r="O55" s="424"/>
      <c r="P55" s="424"/>
      <c r="Q55" s="414">
        <f t="shared" si="2"/>
        <v>0</v>
      </c>
      <c r="R55" s="415">
        <f t="shared" si="2"/>
        <v>0</v>
      </c>
      <c r="S55" s="425"/>
      <c r="T55" s="422"/>
      <c r="U55" s="426"/>
      <c r="V55" s="418"/>
      <c r="W55" s="427"/>
      <c r="X55" s="428"/>
      <c r="Y55" s="83" t="s">
        <v>189</v>
      </c>
    </row>
    <row r="56" spans="1:26" ht="71.25">
      <c r="A56" s="372" t="s">
        <v>380</v>
      </c>
      <c r="B56" s="372" t="s">
        <v>6</v>
      </c>
      <c r="C56" s="37" t="s">
        <v>104</v>
      </c>
      <c r="D56" s="15">
        <v>39520</v>
      </c>
      <c r="E56" s="2" t="s">
        <v>107</v>
      </c>
      <c r="F56" s="3" t="s">
        <v>105</v>
      </c>
      <c r="G56" s="2" t="s">
        <v>106</v>
      </c>
      <c r="H56" s="42" t="s">
        <v>98</v>
      </c>
      <c r="I56" s="57" t="s">
        <v>6</v>
      </c>
      <c r="J56" s="22">
        <v>39546</v>
      </c>
      <c r="K56" s="321">
        <f>38242-19126</f>
        <v>19116</v>
      </c>
      <c r="L56" s="337">
        <v>0.95</v>
      </c>
      <c r="M56" s="321">
        <v>0</v>
      </c>
      <c r="N56" s="352">
        <v>0</v>
      </c>
      <c r="O56" s="352">
        <v>0</v>
      </c>
      <c r="P56" s="352">
        <v>0</v>
      </c>
      <c r="Q56" s="356">
        <f t="shared" si="2"/>
        <v>19116</v>
      </c>
      <c r="R56" s="358">
        <f t="shared" si="2"/>
        <v>0.95</v>
      </c>
      <c r="S56" s="386" t="s">
        <v>299</v>
      </c>
      <c r="T56" s="321">
        <v>0</v>
      </c>
      <c r="U56" s="362">
        <v>0</v>
      </c>
      <c r="V56" s="230">
        <v>39686</v>
      </c>
      <c r="W56" s="62">
        <v>18000</v>
      </c>
      <c r="X56" s="57" t="s">
        <v>41</v>
      </c>
      <c r="Y56" s="82" t="s">
        <v>257</v>
      </c>
      <c r="Z56" s="383">
        <v>39686</v>
      </c>
    </row>
    <row r="57" spans="1:25" ht="42.75">
      <c r="A57" s="372" t="s">
        <v>380</v>
      </c>
      <c r="B57" s="372" t="s">
        <v>6</v>
      </c>
      <c r="C57" s="88" t="s">
        <v>110</v>
      </c>
      <c r="D57" s="15">
        <v>39521</v>
      </c>
      <c r="E57" s="3" t="s">
        <v>116</v>
      </c>
      <c r="F57" s="3" t="s">
        <v>5</v>
      </c>
      <c r="G57" s="2" t="s">
        <v>117</v>
      </c>
      <c r="H57" s="42" t="s">
        <v>97</v>
      </c>
      <c r="I57" s="57" t="s">
        <v>45</v>
      </c>
      <c r="J57" s="22" t="s">
        <v>41</v>
      </c>
      <c r="K57" s="323">
        <v>13000</v>
      </c>
      <c r="L57" s="339">
        <v>1</v>
      </c>
      <c r="M57" s="321">
        <v>-13000</v>
      </c>
      <c r="N57" s="352">
        <v>-1</v>
      </c>
      <c r="O57" s="352">
        <v>0</v>
      </c>
      <c r="P57" s="352">
        <v>0</v>
      </c>
      <c r="Q57" s="356">
        <f t="shared" si="2"/>
        <v>0</v>
      </c>
      <c r="R57" s="358">
        <f t="shared" si="2"/>
        <v>0</v>
      </c>
      <c r="S57" s="397" t="s">
        <v>115</v>
      </c>
      <c r="T57" s="321">
        <v>0</v>
      </c>
      <c r="U57" s="362">
        <v>0</v>
      </c>
      <c r="V57" s="230">
        <v>39521</v>
      </c>
      <c r="W57" s="62" t="s">
        <v>366</v>
      </c>
      <c r="X57" s="57" t="s">
        <v>41</v>
      </c>
      <c r="Y57" s="87" t="s">
        <v>118</v>
      </c>
    </row>
    <row r="58" spans="1:26" ht="42.75">
      <c r="A58" s="372" t="s">
        <v>380</v>
      </c>
      <c r="B58" s="372" t="s">
        <v>6</v>
      </c>
      <c r="C58" s="37" t="s">
        <v>111</v>
      </c>
      <c r="D58" s="95">
        <v>39559</v>
      </c>
      <c r="E58" s="3" t="s">
        <v>136</v>
      </c>
      <c r="F58" s="3" t="s">
        <v>137</v>
      </c>
      <c r="G58" s="3" t="s">
        <v>31</v>
      </c>
      <c r="H58" s="42" t="s">
        <v>98</v>
      </c>
      <c r="I58" s="57" t="s">
        <v>6</v>
      </c>
      <c r="J58" s="3"/>
      <c r="K58" s="324">
        <v>14200</v>
      </c>
      <c r="L58" s="340">
        <v>0.68</v>
      </c>
      <c r="M58" s="324">
        <v>0</v>
      </c>
      <c r="N58" s="353">
        <v>0</v>
      </c>
      <c r="O58" s="353">
        <v>0</v>
      </c>
      <c r="P58" s="353">
        <v>0</v>
      </c>
      <c r="Q58" s="356">
        <f t="shared" si="2"/>
        <v>14200</v>
      </c>
      <c r="R58" s="358">
        <f t="shared" si="2"/>
        <v>0.68</v>
      </c>
      <c r="S58" s="307" t="s">
        <v>300</v>
      </c>
      <c r="T58" s="324">
        <v>0</v>
      </c>
      <c r="U58" s="363">
        <v>0</v>
      </c>
      <c r="V58" s="230">
        <v>39560</v>
      </c>
      <c r="W58" s="64" t="s">
        <v>366</v>
      </c>
      <c r="X58" s="57" t="s">
        <v>41</v>
      </c>
      <c r="Y58" s="82" t="s">
        <v>94</v>
      </c>
      <c r="Z58" s="383">
        <v>39560</v>
      </c>
    </row>
    <row r="59" spans="1:26" ht="42.75">
      <c r="A59" s="372" t="s">
        <v>380</v>
      </c>
      <c r="B59" s="372" t="s">
        <v>6</v>
      </c>
      <c r="C59" s="37" t="s">
        <v>113</v>
      </c>
      <c r="D59" s="84">
        <v>39526</v>
      </c>
      <c r="E59" s="32" t="s">
        <v>119</v>
      </c>
      <c r="F59" s="32" t="s">
        <v>12</v>
      </c>
      <c r="G59" s="2" t="s">
        <v>11</v>
      </c>
      <c r="H59" s="43" t="s">
        <v>98</v>
      </c>
      <c r="I59" s="92" t="s">
        <v>45</v>
      </c>
      <c r="J59" s="22" t="s">
        <v>41</v>
      </c>
      <c r="K59" s="325">
        <v>9900</v>
      </c>
      <c r="L59" s="341">
        <v>1</v>
      </c>
      <c r="M59" s="325">
        <v>0</v>
      </c>
      <c r="N59" s="354">
        <v>0</v>
      </c>
      <c r="O59" s="354">
        <v>0</v>
      </c>
      <c r="P59" s="354">
        <v>0</v>
      </c>
      <c r="Q59" s="356">
        <f t="shared" si="2"/>
        <v>9900</v>
      </c>
      <c r="R59" s="358">
        <f t="shared" si="2"/>
        <v>1</v>
      </c>
      <c r="S59" s="384" t="s">
        <v>294</v>
      </c>
      <c r="T59" s="325">
        <v>0</v>
      </c>
      <c r="U59" s="366">
        <v>0</v>
      </c>
      <c r="V59" s="232">
        <v>39539</v>
      </c>
      <c r="W59" s="77">
        <v>21560</v>
      </c>
      <c r="X59" s="78" t="s">
        <v>41</v>
      </c>
      <c r="Y59" s="118" t="s">
        <v>120</v>
      </c>
      <c r="Z59" s="383">
        <v>39539</v>
      </c>
    </row>
    <row r="60" spans="1:25" ht="28.5">
      <c r="A60" s="372" t="s">
        <v>380</v>
      </c>
      <c r="B60" s="372" t="s">
        <v>6</v>
      </c>
      <c r="C60" s="88" t="s">
        <v>112</v>
      </c>
      <c r="D60" s="84">
        <v>39581</v>
      </c>
      <c r="E60" s="94" t="s">
        <v>155</v>
      </c>
      <c r="F60" s="32" t="s">
        <v>61</v>
      </c>
      <c r="G60" s="32" t="s">
        <v>156</v>
      </c>
      <c r="H60" s="45" t="s">
        <v>99</v>
      </c>
      <c r="I60" s="78" t="s">
        <v>45</v>
      </c>
      <c r="J60" s="96" t="s">
        <v>41</v>
      </c>
      <c r="K60" s="326"/>
      <c r="L60" s="342">
        <v>0.68</v>
      </c>
      <c r="M60" s="325">
        <f>-K60</f>
        <v>0</v>
      </c>
      <c r="N60" s="354">
        <v>-0.68</v>
      </c>
      <c r="O60" s="354">
        <v>0</v>
      </c>
      <c r="P60" s="354">
        <v>0</v>
      </c>
      <c r="Q60" s="356">
        <f t="shared" si="2"/>
        <v>0</v>
      </c>
      <c r="R60" s="358">
        <f t="shared" si="2"/>
        <v>0</v>
      </c>
      <c r="S60" s="384" t="s">
        <v>190</v>
      </c>
      <c r="T60" s="325">
        <v>0</v>
      </c>
      <c r="U60" s="366">
        <v>0</v>
      </c>
      <c r="V60" s="232" t="s">
        <v>366</v>
      </c>
      <c r="W60" s="77" t="s">
        <v>366</v>
      </c>
      <c r="X60" s="78" t="s">
        <v>41</v>
      </c>
      <c r="Y60" s="87" t="s">
        <v>157</v>
      </c>
    </row>
    <row r="61" spans="1:25" ht="42.75">
      <c r="A61" s="372" t="s">
        <v>380</v>
      </c>
      <c r="B61" s="372" t="s">
        <v>6</v>
      </c>
      <c r="C61" s="37" t="s">
        <v>122</v>
      </c>
      <c r="D61" s="84">
        <v>39526</v>
      </c>
      <c r="E61" s="94" t="s">
        <v>158</v>
      </c>
      <c r="F61" s="32" t="s">
        <v>26</v>
      </c>
      <c r="G61" s="32" t="s">
        <v>128</v>
      </c>
      <c r="H61" s="45" t="s">
        <v>99</v>
      </c>
      <c r="I61" s="78" t="s">
        <v>6</v>
      </c>
      <c r="J61" s="85">
        <v>39558</v>
      </c>
      <c r="K61" s="325">
        <f>22000+1000</f>
        <v>23000</v>
      </c>
      <c r="L61" s="341">
        <v>0.86</v>
      </c>
      <c r="M61" s="325">
        <v>0</v>
      </c>
      <c r="N61" s="354">
        <v>0</v>
      </c>
      <c r="O61" s="354">
        <v>0</v>
      </c>
      <c r="P61" s="354">
        <v>0</v>
      </c>
      <c r="Q61" s="356">
        <f t="shared" si="2"/>
        <v>23000</v>
      </c>
      <c r="R61" s="358">
        <f t="shared" si="2"/>
        <v>0.86</v>
      </c>
      <c r="S61" s="307" t="s">
        <v>417</v>
      </c>
      <c r="T61" s="325">
        <v>0</v>
      </c>
      <c r="U61" s="366">
        <v>0</v>
      </c>
      <c r="V61" s="232" t="s">
        <v>366</v>
      </c>
      <c r="W61" s="77" t="s">
        <v>366</v>
      </c>
      <c r="X61" s="78" t="s">
        <v>41</v>
      </c>
      <c r="Y61" s="82" t="s">
        <v>418</v>
      </c>
    </row>
    <row r="62" spans="1:25" ht="42.75">
      <c r="A62" s="372" t="s">
        <v>380</v>
      </c>
      <c r="B62" s="372" t="s">
        <v>6</v>
      </c>
      <c r="C62" s="37" t="s">
        <v>123</v>
      </c>
      <c r="D62" s="84">
        <v>39714</v>
      </c>
      <c r="E62" s="94" t="s">
        <v>159</v>
      </c>
      <c r="F62" s="32" t="s">
        <v>160</v>
      </c>
      <c r="G62" s="32" t="s">
        <v>56</v>
      </c>
      <c r="H62" s="45" t="s">
        <v>98</v>
      </c>
      <c r="I62" s="78" t="s">
        <v>6</v>
      </c>
      <c r="J62" s="85">
        <v>39562</v>
      </c>
      <c r="K62" s="325">
        <v>20500</v>
      </c>
      <c r="L62" s="341">
        <v>1</v>
      </c>
      <c r="M62" s="325">
        <v>0</v>
      </c>
      <c r="N62" s="354">
        <v>0</v>
      </c>
      <c r="O62" s="354">
        <v>0</v>
      </c>
      <c r="P62" s="354">
        <v>0</v>
      </c>
      <c r="Q62" s="356">
        <f t="shared" si="2"/>
        <v>20500</v>
      </c>
      <c r="R62" s="358">
        <f t="shared" si="2"/>
        <v>1</v>
      </c>
      <c r="S62" s="307" t="s">
        <v>419</v>
      </c>
      <c r="T62" s="325">
        <v>0</v>
      </c>
      <c r="U62" s="366">
        <v>0</v>
      </c>
      <c r="V62" s="232" t="s">
        <v>366</v>
      </c>
      <c r="W62" s="77">
        <v>16080</v>
      </c>
      <c r="X62" s="78" t="s">
        <v>41</v>
      </c>
      <c r="Y62" s="82" t="s">
        <v>94</v>
      </c>
    </row>
    <row r="63" spans="1:25" ht="14.25">
      <c r="A63" s="372" t="s">
        <v>430</v>
      </c>
      <c r="B63" s="372" t="s">
        <v>41</v>
      </c>
      <c r="C63" s="3" t="s">
        <v>124</v>
      </c>
      <c r="D63" s="84">
        <v>39549</v>
      </c>
      <c r="E63" s="94" t="s">
        <v>420</v>
      </c>
      <c r="F63" s="32" t="s">
        <v>421</v>
      </c>
      <c r="G63" s="32" t="s">
        <v>422</v>
      </c>
      <c r="H63" s="45" t="s">
        <v>98</v>
      </c>
      <c r="I63" s="78" t="s">
        <v>6</v>
      </c>
      <c r="J63" s="85"/>
      <c r="K63" s="325"/>
      <c r="L63" s="341">
        <v>0</v>
      </c>
      <c r="M63" s="325"/>
      <c r="N63" s="354"/>
      <c r="O63" s="354"/>
      <c r="P63" s="354"/>
      <c r="Q63" s="356">
        <f t="shared" si="2"/>
        <v>0</v>
      </c>
      <c r="R63" s="358">
        <f t="shared" si="2"/>
        <v>0</v>
      </c>
      <c r="S63" s="76"/>
      <c r="T63" s="325">
        <v>0</v>
      </c>
      <c r="U63" s="366">
        <v>0</v>
      </c>
      <c r="V63" s="232" t="s">
        <v>366</v>
      </c>
      <c r="W63" s="77" t="s">
        <v>366</v>
      </c>
      <c r="X63" s="78" t="s">
        <v>41</v>
      </c>
      <c r="Y63" s="429" t="s">
        <v>423</v>
      </c>
    </row>
    <row r="64" spans="1:25" ht="42.75">
      <c r="A64" s="372" t="s">
        <v>380</v>
      </c>
      <c r="B64" s="372" t="s">
        <v>6</v>
      </c>
      <c r="C64" s="37" t="s">
        <v>125</v>
      </c>
      <c r="D64" s="84">
        <v>39554</v>
      </c>
      <c r="E64" s="32" t="s">
        <v>126</v>
      </c>
      <c r="F64" s="32" t="s">
        <v>161</v>
      </c>
      <c r="G64" s="32" t="s">
        <v>424</v>
      </c>
      <c r="H64" s="45" t="s">
        <v>99</v>
      </c>
      <c r="I64" s="78" t="s">
        <v>6</v>
      </c>
      <c r="J64" s="85">
        <v>39417</v>
      </c>
      <c r="K64" s="430"/>
      <c r="L64" s="341">
        <v>1</v>
      </c>
      <c r="M64" s="430"/>
      <c r="N64" s="432"/>
      <c r="O64" s="354">
        <v>0</v>
      </c>
      <c r="P64" s="354">
        <v>0</v>
      </c>
      <c r="Q64" s="356">
        <f t="shared" si="2"/>
        <v>0</v>
      </c>
      <c r="R64" s="358">
        <f t="shared" si="2"/>
        <v>1</v>
      </c>
      <c r="S64" s="307" t="s">
        <v>191</v>
      </c>
      <c r="T64" s="325">
        <v>0</v>
      </c>
      <c r="U64" s="366">
        <v>0</v>
      </c>
      <c r="V64" s="232" t="s">
        <v>366</v>
      </c>
      <c r="W64" s="77">
        <v>25500</v>
      </c>
      <c r="X64" s="78" t="s">
        <v>41</v>
      </c>
      <c r="Y64" s="81" t="s">
        <v>140</v>
      </c>
    </row>
    <row r="65" spans="1:26" ht="42.75">
      <c r="A65" s="372" t="s">
        <v>380</v>
      </c>
      <c r="B65" s="372" t="s">
        <v>6</v>
      </c>
      <c r="C65" s="37" t="s">
        <v>129</v>
      </c>
      <c r="D65" s="84">
        <v>39675</v>
      </c>
      <c r="E65" s="94" t="s">
        <v>162</v>
      </c>
      <c r="F65" s="32" t="s">
        <v>163</v>
      </c>
      <c r="G65" s="32" t="s">
        <v>31</v>
      </c>
      <c r="H65" s="45" t="s">
        <v>98</v>
      </c>
      <c r="I65" s="78" t="s">
        <v>45</v>
      </c>
      <c r="J65" s="85">
        <v>39568</v>
      </c>
      <c r="K65" s="327">
        <v>16000</v>
      </c>
      <c r="L65" s="343">
        <v>0.46</v>
      </c>
      <c r="M65" s="325">
        <v>0</v>
      </c>
      <c r="N65" s="354">
        <v>0</v>
      </c>
      <c r="O65" s="354">
        <v>0</v>
      </c>
      <c r="P65" s="354">
        <v>0</v>
      </c>
      <c r="Q65" s="356">
        <f t="shared" si="2"/>
        <v>16000</v>
      </c>
      <c r="R65" s="358">
        <f t="shared" si="2"/>
        <v>0.46</v>
      </c>
      <c r="S65" s="391" t="s">
        <v>301</v>
      </c>
      <c r="T65" s="325">
        <v>0</v>
      </c>
      <c r="U65" s="366">
        <v>0</v>
      </c>
      <c r="V65" s="232">
        <v>39679</v>
      </c>
      <c r="W65" s="77">
        <v>12170</v>
      </c>
      <c r="X65" s="78" t="s">
        <v>41</v>
      </c>
      <c r="Y65" s="82" t="s">
        <v>260</v>
      </c>
      <c r="Z65" s="383">
        <v>39679</v>
      </c>
    </row>
    <row r="66" spans="1:25" ht="28.5">
      <c r="A66" s="372" t="s">
        <v>430</v>
      </c>
      <c r="B66" s="372" t="s">
        <v>41</v>
      </c>
      <c r="C66" s="3" t="s">
        <v>130</v>
      </c>
      <c r="D66" s="84">
        <v>39561</v>
      </c>
      <c r="E66" s="94" t="s">
        <v>162</v>
      </c>
      <c r="F66" s="32" t="s">
        <v>163</v>
      </c>
      <c r="G66" s="32" t="s">
        <v>31</v>
      </c>
      <c r="H66" s="45" t="s">
        <v>98</v>
      </c>
      <c r="I66" s="78"/>
      <c r="J66" s="85"/>
      <c r="K66" s="325"/>
      <c r="L66" s="341"/>
      <c r="M66" s="325"/>
      <c r="N66" s="354"/>
      <c r="O66" s="354"/>
      <c r="P66" s="354"/>
      <c r="Q66" s="356">
        <f t="shared" si="2"/>
        <v>0</v>
      </c>
      <c r="R66" s="358">
        <f t="shared" si="2"/>
        <v>0</v>
      </c>
      <c r="S66" s="76"/>
      <c r="T66" s="325"/>
      <c r="U66" s="366"/>
      <c r="V66" s="232"/>
      <c r="W66" s="77"/>
      <c r="X66" s="78"/>
      <c r="Y66" s="116" t="s">
        <v>423</v>
      </c>
    </row>
    <row r="67" spans="1:25" ht="42.75" customHeight="1">
      <c r="A67" s="372" t="s">
        <v>380</v>
      </c>
      <c r="B67" s="372" t="s">
        <v>6</v>
      </c>
      <c r="C67" s="37" t="s">
        <v>131</v>
      </c>
      <c r="D67" s="84">
        <v>39562</v>
      </c>
      <c r="E67" s="94" t="s">
        <v>133</v>
      </c>
      <c r="F67" s="32" t="s">
        <v>23</v>
      </c>
      <c r="G67" s="32" t="s">
        <v>51</v>
      </c>
      <c r="H67" s="45" t="s">
        <v>20</v>
      </c>
      <c r="I67" s="78" t="s">
        <v>6</v>
      </c>
      <c r="J67" s="85">
        <v>39573</v>
      </c>
      <c r="K67" s="325">
        <v>21800</v>
      </c>
      <c r="L67" s="341">
        <v>1</v>
      </c>
      <c r="M67" s="325">
        <v>0</v>
      </c>
      <c r="N67" s="354">
        <v>0</v>
      </c>
      <c r="O67" s="354">
        <v>0</v>
      </c>
      <c r="P67" s="354">
        <v>0</v>
      </c>
      <c r="Q67" s="356">
        <f t="shared" si="2"/>
        <v>21800</v>
      </c>
      <c r="R67" s="358">
        <f t="shared" si="2"/>
        <v>1</v>
      </c>
      <c r="S67" s="390" t="s">
        <v>407</v>
      </c>
      <c r="T67" s="325">
        <v>0</v>
      </c>
      <c r="U67" s="366">
        <v>0</v>
      </c>
      <c r="V67" s="232">
        <v>39637</v>
      </c>
      <c r="W67" s="77">
        <v>47110</v>
      </c>
      <c r="X67" s="78" t="s">
        <v>41</v>
      </c>
      <c r="Y67" s="82" t="s">
        <v>94</v>
      </c>
    </row>
    <row r="68" spans="1:26" ht="42.75">
      <c r="A68" s="372" t="s">
        <v>380</v>
      </c>
      <c r="B68" s="372" t="s">
        <v>6</v>
      </c>
      <c r="C68" s="37" t="s">
        <v>132</v>
      </c>
      <c r="D68" s="84">
        <v>39570</v>
      </c>
      <c r="E68" s="94" t="s">
        <v>164</v>
      </c>
      <c r="F68" s="32" t="s">
        <v>74</v>
      </c>
      <c r="G68" s="94" t="s">
        <v>25</v>
      </c>
      <c r="H68" s="45" t="s">
        <v>99</v>
      </c>
      <c r="I68" s="78" t="s">
        <v>6</v>
      </c>
      <c r="J68" s="85">
        <v>39566</v>
      </c>
      <c r="K68" s="325">
        <v>28200</v>
      </c>
      <c r="L68" s="341">
        <v>1</v>
      </c>
      <c r="M68" s="325">
        <v>0</v>
      </c>
      <c r="N68" s="354">
        <v>0</v>
      </c>
      <c r="O68" s="354">
        <v>0</v>
      </c>
      <c r="P68" s="354">
        <v>0</v>
      </c>
      <c r="Q68" s="356">
        <f aca="true" t="shared" si="3" ref="Q68:R83">K68+M68+O68</f>
        <v>28200</v>
      </c>
      <c r="R68" s="358">
        <f t="shared" si="3"/>
        <v>1</v>
      </c>
      <c r="S68" s="307" t="s">
        <v>302</v>
      </c>
      <c r="T68" s="325">
        <v>0</v>
      </c>
      <c r="U68" s="366">
        <v>0</v>
      </c>
      <c r="V68" s="233">
        <v>39574</v>
      </c>
      <c r="W68" s="77">
        <v>38310</v>
      </c>
      <c r="X68" s="78" t="s">
        <v>41</v>
      </c>
      <c r="Y68" s="82" t="s">
        <v>94</v>
      </c>
      <c r="Z68" s="383">
        <v>39574</v>
      </c>
    </row>
    <row r="69" spans="1:26" ht="42.75">
      <c r="A69" s="372" t="s">
        <v>380</v>
      </c>
      <c r="B69" s="372" t="s">
        <v>6</v>
      </c>
      <c r="C69" s="37" t="s">
        <v>166</v>
      </c>
      <c r="D69" s="84">
        <v>39570</v>
      </c>
      <c r="E69" s="94" t="s">
        <v>165</v>
      </c>
      <c r="F69" s="32" t="s">
        <v>74</v>
      </c>
      <c r="G69" s="94" t="s">
        <v>25</v>
      </c>
      <c r="H69" s="45" t="s">
        <v>99</v>
      </c>
      <c r="I69" s="78" t="s">
        <v>6</v>
      </c>
      <c r="J69" s="85">
        <v>39577</v>
      </c>
      <c r="K69" s="325">
        <v>28400</v>
      </c>
      <c r="L69" s="341">
        <v>1</v>
      </c>
      <c r="M69" s="325">
        <v>0</v>
      </c>
      <c r="N69" s="354">
        <v>0</v>
      </c>
      <c r="O69" s="354">
        <v>0</v>
      </c>
      <c r="P69" s="354">
        <v>0</v>
      </c>
      <c r="Q69" s="356">
        <f t="shared" si="3"/>
        <v>28400</v>
      </c>
      <c r="R69" s="358">
        <f t="shared" si="3"/>
        <v>1</v>
      </c>
      <c r="S69" s="307" t="s">
        <v>302</v>
      </c>
      <c r="T69" s="325">
        <v>0</v>
      </c>
      <c r="U69" s="366">
        <v>0</v>
      </c>
      <c r="V69" s="233">
        <v>39574</v>
      </c>
      <c r="W69" s="77">
        <v>38310</v>
      </c>
      <c r="X69" s="78" t="s">
        <v>41</v>
      </c>
      <c r="Y69" s="82" t="s">
        <v>94</v>
      </c>
      <c r="Z69" s="383">
        <v>39574</v>
      </c>
    </row>
    <row r="70" spans="1:26" ht="28.5">
      <c r="A70" s="372" t="s">
        <v>380</v>
      </c>
      <c r="B70" s="372" t="s">
        <v>6</v>
      </c>
      <c r="C70" s="3" t="s">
        <v>167</v>
      </c>
      <c r="D70" s="84">
        <v>39570</v>
      </c>
      <c r="E70" s="94" t="s">
        <v>172</v>
      </c>
      <c r="F70" s="32" t="s">
        <v>74</v>
      </c>
      <c r="G70" s="94" t="s">
        <v>25</v>
      </c>
      <c r="H70" s="45" t="s">
        <v>99</v>
      </c>
      <c r="I70" s="78" t="s">
        <v>6</v>
      </c>
      <c r="J70" s="85">
        <v>39588</v>
      </c>
      <c r="K70" s="325"/>
      <c r="L70" s="341"/>
      <c r="M70" s="325"/>
      <c r="N70" s="354"/>
      <c r="O70" s="354"/>
      <c r="P70" s="354"/>
      <c r="Q70" s="324"/>
      <c r="R70" s="359">
        <f>+M70+K70</f>
        <v>0</v>
      </c>
      <c r="S70" s="86" t="s">
        <v>180</v>
      </c>
      <c r="T70" s="325"/>
      <c r="U70" s="366"/>
      <c r="V70" s="230"/>
      <c r="W70" s="77">
        <v>38310</v>
      </c>
      <c r="X70" s="78" t="s">
        <v>41</v>
      </c>
      <c r="Y70" s="116" t="s">
        <v>179</v>
      </c>
      <c r="Z70" s="383">
        <v>39574</v>
      </c>
    </row>
    <row r="71" spans="1:25" ht="28.5">
      <c r="A71" s="372" t="s">
        <v>466</v>
      </c>
      <c r="B71" s="372" t="s">
        <v>6</v>
      </c>
      <c r="C71" s="3" t="s">
        <v>168</v>
      </c>
      <c r="D71" s="84">
        <v>39566</v>
      </c>
      <c r="E71" s="94" t="s">
        <v>72</v>
      </c>
      <c r="F71" s="32" t="s">
        <v>74</v>
      </c>
      <c r="G71" s="94" t="s">
        <v>25</v>
      </c>
      <c r="H71" s="45" t="s">
        <v>99</v>
      </c>
      <c r="I71" s="78" t="s">
        <v>6</v>
      </c>
      <c r="J71" s="85">
        <v>39577</v>
      </c>
      <c r="K71" s="325"/>
      <c r="L71" s="341"/>
      <c r="M71" s="325"/>
      <c r="N71" s="354"/>
      <c r="O71" s="354"/>
      <c r="P71" s="354"/>
      <c r="Q71" s="356">
        <f t="shared" si="3"/>
        <v>0</v>
      </c>
      <c r="R71" s="358">
        <f t="shared" si="3"/>
        <v>0</v>
      </c>
      <c r="S71" s="124">
        <v>39574</v>
      </c>
      <c r="T71" s="325">
        <v>0</v>
      </c>
      <c r="U71" s="366">
        <v>0</v>
      </c>
      <c r="V71" s="234">
        <v>39574</v>
      </c>
      <c r="W71" s="77"/>
      <c r="X71" s="78"/>
      <c r="Y71" s="116" t="s">
        <v>425</v>
      </c>
    </row>
    <row r="72" spans="1:26" ht="42.75">
      <c r="A72" s="372" t="s">
        <v>380</v>
      </c>
      <c r="B72" s="372" t="s">
        <v>6</v>
      </c>
      <c r="C72" s="97" t="s">
        <v>169</v>
      </c>
      <c r="D72" s="84">
        <v>39580</v>
      </c>
      <c r="E72" s="32" t="s">
        <v>173</v>
      </c>
      <c r="F72" s="32" t="s">
        <v>67</v>
      </c>
      <c r="G72" s="32" t="s">
        <v>68</v>
      </c>
      <c r="H72" s="45" t="s">
        <v>20</v>
      </c>
      <c r="I72" s="78" t="s">
        <v>45</v>
      </c>
      <c r="J72" s="85" t="s">
        <v>41</v>
      </c>
      <c r="K72" s="327">
        <v>20300</v>
      </c>
      <c r="L72" s="343">
        <v>1</v>
      </c>
      <c r="M72" s="325">
        <v>0</v>
      </c>
      <c r="N72" s="354">
        <v>0</v>
      </c>
      <c r="O72" s="354">
        <v>-20300</v>
      </c>
      <c r="P72" s="354">
        <v>-1</v>
      </c>
      <c r="Q72" s="356">
        <f t="shared" si="3"/>
        <v>0</v>
      </c>
      <c r="R72" s="358">
        <f t="shared" si="3"/>
        <v>0</v>
      </c>
      <c r="S72" s="389" t="s">
        <v>303</v>
      </c>
      <c r="T72" s="325">
        <v>0</v>
      </c>
      <c r="U72" s="366">
        <v>0</v>
      </c>
      <c r="V72" s="232">
        <v>39609</v>
      </c>
      <c r="W72" s="77" t="s">
        <v>366</v>
      </c>
      <c r="X72" s="78" t="s">
        <v>41</v>
      </c>
      <c r="Y72" s="98" t="s">
        <v>182</v>
      </c>
      <c r="Z72" s="383">
        <v>39609</v>
      </c>
    </row>
    <row r="73" spans="1:26" ht="42.75">
      <c r="A73" s="372" t="s">
        <v>380</v>
      </c>
      <c r="B73" s="372" t="s">
        <v>6</v>
      </c>
      <c r="C73" s="97" t="s">
        <v>181</v>
      </c>
      <c r="D73" s="84">
        <v>39580</v>
      </c>
      <c r="E73" s="32" t="s">
        <v>175</v>
      </c>
      <c r="F73" s="32" t="s">
        <v>67</v>
      </c>
      <c r="G73" s="32" t="s">
        <v>68</v>
      </c>
      <c r="H73" s="45" t="s">
        <v>20</v>
      </c>
      <c r="I73" s="78" t="s">
        <v>45</v>
      </c>
      <c r="J73" s="85" t="s">
        <v>41</v>
      </c>
      <c r="K73" s="327">
        <v>28700</v>
      </c>
      <c r="L73" s="343">
        <v>1</v>
      </c>
      <c r="M73" s="325">
        <v>0</v>
      </c>
      <c r="N73" s="354">
        <v>0</v>
      </c>
      <c r="O73" s="354">
        <v>-28700</v>
      </c>
      <c r="P73" s="354">
        <v>-1</v>
      </c>
      <c r="Q73" s="356">
        <f t="shared" si="3"/>
        <v>0</v>
      </c>
      <c r="R73" s="358">
        <f t="shared" si="3"/>
        <v>0</v>
      </c>
      <c r="S73" s="389" t="s">
        <v>303</v>
      </c>
      <c r="T73" s="325">
        <v>0</v>
      </c>
      <c r="U73" s="366">
        <v>0</v>
      </c>
      <c r="V73" s="232">
        <v>39609</v>
      </c>
      <c r="W73" s="77" t="s">
        <v>366</v>
      </c>
      <c r="X73" s="78" t="s">
        <v>41</v>
      </c>
      <c r="Y73" s="98" t="s">
        <v>182</v>
      </c>
      <c r="Z73" s="383">
        <v>39609</v>
      </c>
    </row>
    <row r="74" spans="1:26" ht="42.75">
      <c r="A74" s="372" t="s">
        <v>380</v>
      </c>
      <c r="B74" s="372" t="s">
        <v>6</v>
      </c>
      <c r="C74" s="97" t="s">
        <v>170</v>
      </c>
      <c r="D74" s="84">
        <v>39580</v>
      </c>
      <c r="E74" s="32" t="s">
        <v>176</v>
      </c>
      <c r="F74" s="32" t="s">
        <v>67</v>
      </c>
      <c r="G74" s="32" t="s">
        <v>68</v>
      </c>
      <c r="H74" s="45" t="s">
        <v>20</v>
      </c>
      <c r="I74" s="78" t="s">
        <v>45</v>
      </c>
      <c r="J74" s="85" t="s">
        <v>41</v>
      </c>
      <c r="K74" s="327">
        <v>31900</v>
      </c>
      <c r="L74" s="343">
        <v>1</v>
      </c>
      <c r="M74" s="325">
        <v>0</v>
      </c>
      <c r="N74" s="354">
        <v>0</v>
      </c>
      <c r="O74" s="354">
        <v>-31900</v>
      </c>
      <c r="P74" s="354">
        <v>-1</v>
      </c>
      <c r="Q74" s="356">
        <f t="shared" si="3"/>
        <v>0</v>
      </c>
      <c r="R74" s="358">
        <f t="shared" si="3"/>
        <v>0</v>
      </c>
      <c r="S74" s="389" t="s">
        <v>303</v>
      </c>
      <c r="T74" s="325">
        <v>0</v>
      </c>
      <c r="U74" s="366">
        <v>0</v>
      </c>
      <c r="V74" s="232">
        <v>39609</v>
      </c>
      <c r="W74" s="77" t="s">
        <v>366</v>
      </c>
      <c r="X74" s="78" t="s">
        <v>41</v>
      </c>
      <c r="Y74" s="98" t="s">
        <v>182</v>
      </c>
      <c r="Z74" s="383">
        <v>39609</v>
      </c>
    </row>
    <row r="75" spans="1:26" ht="42.75">
      <c r="A75" s="372" t="s">
        <v>380</v>
      </c>
      <c r="B75" s="372" t="s">
        <v>6</v>
      </c>
      <c r="C75" s="97" t="s">
        <v>171</v>
      </c>
      <c r="D75" s="84">
        <v>39580</v>
      </c>
      <c r="E75" s="94" t="s">
        <v>18</v>
      </c>
      <c r="F75" s="32" t="s">
        <v>67</v>
      </c>
      <c r="G75" s="32" t="s">
        <v>68</v>
      </c>
      <c r="H75" s="45" t="s">
        <v>20</v>
      </c>
      <c r="I75" s="78" t="s">
        <v>45</v>
      </c>
      <c r="J75" s="85" t="s">
        <v>41</v>
      </c>
      <c r="K75" s="327">
        <v>31900</v>
      </c>
      <c r="L75" s="343">
        <v>1</v>
      </c>
      <c r="M75" s="325">
        <v>0</v>
      </c>
      <c r="N75" s="354">
        <v>0</v>
      </c>
      <c r="O75" s="354">
        <v>-31900</v>
      </c>
      <c r="P75" s="354">
        <v>-1</v>
      </c>
      <c r="Q75" s="356">
        <f t="shared" si="3"/>
        <v>0</v>
      </c>
      <c r="R75" s="358">
        <f t="shared" si="3"/>
        <v>0</v>
      </c>
      <c r="S75" s="389" t="s">
        <v>303</v>
      </c>
      <c r="T75" s="325">
        <v>0</v>
      </c>
      <c r="U75" s="366">
        <v>0</v>
      </c>
      <c r="V75" s="232">
        <v>39609</v>
      </c>
      <c r="W75" s="77" t="s">
        <v>366</v>
      </c>
      <c r="X75" s="78" t="s">
        <v>41</v>
      </c>
      <c r="Y75" s="98" t="s">
        <v>182</v>
      </c>
      <c r="Z75" s="383">
        <v>39609</v>
      </c>
    </row>
    <row r="76" spans="1:26" ht="57">
      <c r="A76" s="372" t="s">
        <v>380</v>
      </c>
      <c r="B76" s="372" t="s">
        <v>6</v>
      </c>
      <c r="C76" s="37" t="s">
        <v>174</v>
      </c>
      <c r="D76" s="84">
        <v>39688</v>
      </c>
      <c r="E76" s="94" t="s">
        <v>177</v>
      </c>
      <c r="F76" s="32" t="s">
        <v>178</v>
      </c>
      <c r="G76" s="32" t="s">
        <v>69</v>
      </c>
      <c r="H76" s="45" t="s">
        <v>99</v>
      </c>
      <c r="I76" s="57" t="s">
        <v>6</v>
      </c>
      <c r="J76" s="22">
        <v>39701</v>
      </c>
      <c r="K76" s="328">
        <v>17100</v>
      </c>
      <c r="L76" s="337">
        <v>0.92</v>
      </c>
      <c r="M76" s="321">
        <v>0</v>
      </c>
      <c r="N76" s="337">
        <v>0</v>
      </c>
      <c r="O76" s="352">
        <v>0</v>
      </c>
      <c r="P76" s="352">
        <v>0</v>
      </c>
      <c r="Q76" s="356">
        <f t="shared" si="3"/>
        <v>17100</v>
      </c>
      <c r="R76" s="358">
        <f t="shared" si="3"/>
        <v>0.92</v>
      </c>
      <c r="S76" s="388" t="s">
        <v>376</v>
      </c>
      <c r="T76" s="321" t="s">
        <v>366</v>
      </c>
      <c r="U76" s="362" t="s">
        <v>366</v>
      </c>
      <c r="V76" s="230">
        <v>39707</v>
      </c>
      <c r="W76" s="65">
        <v>21260</v>
      </c>
      <c r="X76" s="78" t="s">
        <v>41</v>
      </c>
      <c r="Y76" s="82" t="s">
        <v>262</v>
      </c>
      <c r="Z76" s="383">
        <v>39707</v>
      </c>
    </row>
    <row r="77" spans="1:26" ht="28.5">
      <c r="A77" s="372" t="s">
        <v>380</v>
      </c>
      <c r="B77" s="372" t="s">
        <v>6</v>
      </c>
      <c r="C77" s="37" t="s">
        <v>252</v>
      </c>
      <c r="D77" s="95">
        <v>39675</v>
      </c>
      <c r="E77" s="127" t="s">
        <v>215</v>
      </c>
      <c r="F77" s="127" t="s">
        <v>216</v>
      </c>
      <c r="G77" s="127" t="s">
        <v>217</v>
      </c>
      <c r="H77" s="43" t="s">
        <v>98</v>
      </c>
      <c r="I77" s="225" t="s">
        <v>6</v>
      </c>
      <c r="J77" s="126">
        <v>39626</v>
      </c>
      <c r="K77" s="328">
        <v>17900</v>
      </c>
      <c r="L77" s="344">
        <v>1</v>
      </c>
      <c r="M77" s="328">
        <v>0</v>
      </c>
      <c r="N77" s="355">
        <v>0</v>
      </c>
      <c r="O77" s="355">
        <v>0</v>
      </c>
      <c r="P77" s="355">
        <v>0</v>
      </c>
      <c r="Q77" s="356">
        <f t="shared" si="3"/>
        <v>17900</v>
      </c>
      <c r="R77" s="358">
        <f t="shared" si="3"/>
        <v>1</v>
      </c>
      <c r="S77" s="387" t="s">
        <v>304</v>
      </c>
      <c r="T77" s="328">
        <v>0</v>
      </c>
      <c r="U77" s="367">
        <v>0</v>
      </c>
      <c r="V77" s="235">
        <v>39679</v>
      </c>
      <c r="W77" s="77" t="s">
        <v>366</v>
      </c>
      <c r="X77" s="78" t="s">
        <v>41</v>
      </c>
      <c r="Y77" s="82" t="s">
        <v>94</v>
      </c>
      <c r="Z77" s="383">
        <v>39679</v>
      </c>
    </row>
    <row r="78" spans="1:25" ht="14.25">
      <c r="A78" s="372" t="s">
        <v>431</v>
      </c>
      <c r="B78" s="372" t="s">
        <v>45</v>
      </c>
      <c r="C78" s="36" t="s">
        <v>197</v>
      </c>
      <c r="D78" s="95">
        <v>39604</v>
      </c>
      <c r="E78" s="127" t="s">
        <v>218</v>
      </c>
      <c r="F78" s="127" t="s">
        <v>219</v>
      </c>
      <c r="G78" s="127" t="s">
        <v>220</v>
      </c>
      <c r="H78" s="43" t="s">
        <v>98</v>
      </c>
      <c r="I78" s="435"/>
      <c r="J78" s="436"/>
      <c r="K78" s="430"/>
      <c r="L78" s="431"/>
      <c r="M78" s="430"/>
      <c r="N78" s="432"/>
      <c r="O78" s="432"/>
      <c r="P78" s="432"/>
      <c r="Q78" s="356">
        <f t="shared" si="3"/>
        <v>0</v>
      </c>
      <c r="R78" s="358">
        <f t="shared" si="3"/>
        <v>0</v>
      </c>
      <c r="S78" s="86"/>
      <c r="T78" s="325"/>
      <c r="U78" s="366"/>
      <c r="V78" s="232"/>
      <c r="W78" s="77"/>
      <c r="X78" s="78"/>
      <c r="Y78" s="83" t="s">
        <v>95</v>
      </c>
    </row>
    <row r="79" spans="1:25" ht="14.25">
      <c r="A79" s="372" t="s">
        <v>431</v>
      </c>
      <c r="B79" s="372" t="s">
        <v>45</v>
      </c>
      <c r="C79" s="36" t="s">
        <v>198</v>
      </c>
      <c r="D79" s="434"/>
      <c r="E79" s="127" t="s">
        <v>221</v>
      </c>
      <c r="F79" s="127" t="s">
        <v>222</v>
      </c>
      <c r="G79" s="127" t="s">
        <v>223</v>
      </c>
      <c r="H79" s="43" t="s">
        <v>98</v>
      </c>
      <c r="I79" s="435"/>
      <c r="J79" s="436"/>
      <c r="K79" s="430"/>
      <c r="L79" s="431"/>
      <c r="M79" s="430"/>
      <c r="N79" s="432"/>
      <c r="O79" s="432"/>
      <c r="P79" s="432"/>
      <c r="Q79" s="356">
        <f t="shared" si="3"/>
        <v>0</v>
      </c>
      <c r="R79" s="358">
        <f t="shared" si="3"/>
        <v>0</v>
      </c>
      <c r="S79" s="86"/>
      <c r="T79" s="325"/>
      <c r="U79" s="366"/>
      <c r="V79" s="232"/>
      <c r="W79" s="77"/>
      <c r="X79" s="78"/>
      <c r="Y79" s="83" t="s">
        <v>95</v>
      </c>
    </row>
    <row r="80" spans="1:25" ht="14.25">
      <c r="A80" s="372" t="s">
        <v>431</v>
      </c>
      <c r="B80" s="372" t="s">
        <v>45</v>
      </c>
      <c r="C80" s="36" t="s">
        <v>199</v>
      </c>
      <c r="D80" s="95">
        <v>39616</v>
      </c>
      <c r="E80" s="127" t="s">
        <v>224</v>
      </c>
      <c r="F80" s="127" t="s">
        <v>225</v>
      </c>
      <c r="G80" s="127" t="s">
        <v>51</v>
      </c>
      <c r="H80" s="127" t="s">
        <v>20</v>
      </c>
      <c r="I80" s="435"/>
      <c r="J80" s="436"/>
      <c r="K80" s="430"/>
      <c r="L80" s="431"/>
      <c r="M80" s="430"/>
      <c r="N80" s="432"/>
      <c r="O80" s="432"/>
      <c r="P80" s="432"/>
      <c r="Q80" s="356">
        <f t="shared" si="3"/>
        <v>0</v>
      </c>
      <c r="R80" s="358">
        <f t="shared" si="3"/>
        <v>0</v>
      </c>
      <c r="S80" s="86"/>
      <c r="T80" s="325"/>
      <c r="U80" s="366"/>
      <c r="V80" s="232"/>
      <c r="W80" s="77"/>
      <c r="X80" s="78"/>
      <c r="Y80" s="83" t="s">
        <v>95</v>
      </c>
    </row>
    <row r="81" spans="1:25" ht="14.25">
      <c r="A81" s="372" t="s">
        <v>431</v>
      </c>
      <c r="B81" s="372" t="s">
        <v>45</v>
      </c>
      <c r="C81" s="36" t="s">
        <v>253</v>
      </c>
      <c r="D81" s="95">
        <v>39617</v>
      </c>
      <c r="E81" s="127" t="s">
        <v>322</v>
      </c>
      <c r="F81" s="127" t="s">
        <v>226</v>
      </c>
      <c r="G81" s="127" t="s">
        <v>220</v>
      </c>
      <c r="H81" s="43" t="s">
        <v>98</v>
      </c>
      <c r="I81" s="435"/>
      <c r="J81" s="436"/>
      <c r="K81" s="430"/>
      <c r="L81" s="431"/>
      <c r="M81" s="430"/>
      <c r="N81" s="432"/>
      <c r="O81" s="432"/>
      <c r="P81" s="432"/>
      <c r="Q81" s="356">
        <f t="shared" si="3"/>
        <v>0</v>
      </c>
      <c r="R81" s="358">
        <f t="shared" si="3"/>
        <v>0</v>
      </c>
      <c r="S81" s="86"/>
      <c r="T81" s="325"/>
      <c r="U81" s="366"/>
      <c r="V81" s="232"/>
      <c r="W81" s="77"/>
      <c r="X81" s="78"/>
      <c r="Y81" s="83" t="s">
        <v>95</v>
      </c>
    </row>
    <row r="82" spans="1:25" ht="14.25">
      <c r="A82" s="372" t="s">
        <v>431</v>
      </c>
      <c r="B82" s="372" t="s">
        <v>45</v>
      </c>
      <c r="C82" s="36" t="s">
        <v>254</v>
      </c>
      <c r="D82" s="95">
        <v>39619</v>
      </c>
      <c r="E82" s="127" t="s">
        <v>227</v>
      </c>
      <c r="F82" s="127" t="s">
        <v>225</v>
      </c>
      <c r="G82" s="127" t="s">
        <v>51</v>
      </c>
      <c r="H82" s="127" t="s">
        <v>20</v>
      </c>
      <c r="I82" s="435"/>
      <c r="J82" s="436"/>
      <c r="K82" s="430"/>
      <c r="L82" s="431"/>
      <c r="M82" s="430"/>
      <c r="N82" s="432"/>
      <c r="O82" s="432"/>
      <c r="P82" s="432"/>
      <c r="Q82" s="356">
        <f t="shared" si="3"/>
        <v>0</v>
      </c>
      <c r="R82" s="358">
        <f t="shared" si="3"/>
        <v>0</v>
      </c>
      <c r="S82" s="86"/>
      <c r="T82" s="325"/>
      <c r="U82" s="366"/>
      <c r="V82" s="232"/>
      <c r="W82" s="77"/>
      <c r="X82" s="78"/>
      <c r="Y82" s="83" t="s">
        <v>95</v>
      </c>
    </row>
    <row r="83" spans="1:25" ht="14.25">
      <c r="A83" s="372" t="s">
        <v>431</v>
      </c>
      <c r="B83" s="372" t="s">
        <v>45</v>
      </c>
      <c r="C83" s="36" t="s">
        <v>200</v>
      </c>
      <c r="D83" s="95">
        <v>39629</v>
      </c>
      <c r="E83" s="127" t="s">
        <v>228</v>
      </c>
      <c r="F83" s="127" t="s">
        <v>229</v>
      </c>
      <c r="G83" s="127" t="s">
        <v>31</v>
      </c>
      <c r="H83" s="43" t="s">
        <v>98</v>
      </c>
      <c r="I83" s="435"/>
      <c r="J83" s="436"/>
      <c r="K83" s="430"/>
      <c r="L83" s="431"/>
      <c r="M83" s="430"/>
      <c r="N83" s="432"/>
      <c r="O83" s="432"/>
      <c r="P83" s="432"/>
      <c r="Q83" s="356">
        <f t="shared" si="3"/>
        <v>0</v>
      </c>
      <c r="R83" s="358">
        <f t="shared" si="3"/>
        <v>0</v>
      </c>
      <c r="S83" s="86"/>
      <c r="T83" s="325"/>
      <c r="U83" s="366"/>
      <c r="V83" s="232"/>
      <c r="W83" s="77"/>
      <c r="X83" s="78"/>
      <c r="Y83" s="83" t="s">
        <v>95</v>
      </c>
    </row>
    <row r="84" spans="1:25" ht="14.25">
      <c r="A84" s="372" t="s">
        <v>431</v>
      </c>
      <c r="B84" s="372" t="s">
        <v>45</v>
      </c>
      <c r="C84" s="36" t="s">
        <v>201</v>
      </c>
      <c r="D84" s="95">
        <v>39630</v>
      </c>
      <c r="E84" s="127" t="s">
        <v>230</v>
      </c>
      <c r="F84" s="127" t="s">
        <v>225</v>
      </c>
      <c r="G84" s="127" t="s">
        <v>51</v>
      </c>
      <c r="H84" s="127" t="s">
        <v>20</v>
      </c>
      <c r="I84" s="435"/>
      <c r="J84" s="436"/>
      <c r="K84" s="430"/>
      <c r="L84" s="431"/>
      <c r="M84" s="430"/>
      <c r="N84" s="432"/>
      <c r="O84" s="432"/>
      <c r="P84" s="432"/>
      <c r="Q84" s="356">
        <f aca="true" t="shared" si="4" ref="Q84:R99">K84+M84+O84</f>
        <v>0</v>
      </c>
      <c r="R84" s="358">
        <f t="shared" si="4"/>
        <v>0</v>
      </c>
      <c r="S84" s="86"/>
      <c r="T84" s="325"/>
      <c r="U84" s="366"/>
      <c r="V84" s="232"/>
      <c r="W84" s="77"/>
      <c r="X84" s="78"/>
      <c r="Y84" s="83" t="s">
        <v>95</v>
      </c>
    </row>
    <row r="85" spans="1:25" ht="57">
      <c r="A85" s="372" t="s">
        <v>380</v>
      </c>
      <c r="B85" s="372" t="s">
        <v>45</v>
      </c>
      <c r="C85" s="37" t="s">
        <v>202</v>
      </c>
      <c r="D85" s="95">
        <v>39638</v>
      </c>
      <c r="E85" s="127" t="s">
        <v>231</v>
      </c>
      <c r="F85" s="127" t="s">
        <v>232</v>
      </c>
      <c r="G85" s="127" t="s">
        <v>233</v>
      </c>
      <c r="H85" s="127" t="s">
        <v>20</v>
      </c>
      <c r="I85" s="78" t="s">
        <v>366</v>
      </c>
      <c r="J85" s="85" t="s">
        <v>366</v>
      </c>
      <c r="K85" s="325">
        <v>0</v>
      </c>
      <c r="L85" s="341">
        <v>0</v>
      </c>
      <c r="M85" s="325">
        <v>0</v>
      </c>
      <c r="N85" s="354">
        <v>0</v>
      </c>
      <c r="O85" s="354">
        <v>0</v>
      </c>
      <c r="P85" s="354">
        <v>0</v>
      </c>
      <c r="Q85" s="356">
        <f t="shared" si="4"/>
        <v>0</v>
      </c>
      <c r="R85" s="358">
        <f t="shared" si="4"/>
        <v>0</v>
      </c>
      <c r="S85" s="307" t="s">
        <v>426</v>
      </c>
      <c r="T85" s="325">
        <v>0</v>
      </c>
      <c r="U85" s="366">
        <v>0</v>
      </c>
      <c r="V85" s="232" t="s">
        <v>366</v>
      </c>
      <c r="W85" s="77" t="s">
        <v>366</v>
      </c>
      <c r="X85" s="78" t="s">
        <v>41</v>
      </c>
      <c r="Y85" s="82" t="s">
        <v>427</v>
      </c>
    </row>
    <row r="86" spans="1:25" ht="57">
      <c r="A86" s="372" t="s">
        <v>380</v>
      </c>
      <c r="B86" s="372" t="s">
        <v>45</v>
      </c>
      <c r="C86" s="37" t="s">
        <v>203</v>
      </c>
      <c r="D86" s="95">
        <v>39638</v>
      </c>
      <c r="E86" s="127" t="s">
        <v>234</v>
      </c>
      <c r="F86" s="127" t="s">
        <v>232</v>
      </c>
      <c r="G86" s="127" t="s">
        <v>235</v>
      </c>
      <c r="H86" s="127" t="s">
        <v>20</v>
      </c>
      <c r="I86" s="78" t="s">
        <v>366</v>
      </c>
      <c r="J86" s="85" t="s">
        <v>366</v>
      </c>
      <c r="K86" s="325">
        <v>0</v>
      </c>
      <c r="L86" s="341">
        <v>0</v>
      </c>
      <c r="M86" s="325">
        <v>0</v>
      </c>
      <c r="N86" s="354">
        <v>0</v>
      </c>
      <c r="O86" s="354">
        <v>0</v>
      </c>
      <c r="P86" s="354">
        <v>0</v>
      </c>
      <c r="Q86" s="356">
        <f t="shared" si="4"/>
        <v>0</v>
      </c>
      <c r="R86" s="358">
        <f t="shared" si="4"/>
        <v>0</v>
      </c>
      <c r="S86" s="307" t="s">
        <v>426</v>
      </c>
      <c r="T86" s="325">
        <v>0</v>
      </c>
      <c r="U86" s="366">
        <v>0</v>
      </c>
      <c r="V86" s="232" t="s">
        <v>366</v>
      </c>
      <c r="W86" s="77" t="s">
        <v>366</v>
      </c>
      <c r="X86" s="78" t="s">
        <v>41</v>
      </c>
      <c r="Y86" s="82" t="s">
        <v>427</v>
      </c>
    </row>
    <row r="87" spans="1:25" ht="57">
      <c r="A87" s="372" t="s">
        <v>380</v>
      </c>
      <c r="B87" s="372" t="s">
        <v>45</v>
      </c>
      <c r="C87" s="37" t="s">
        <v>204</v>
      </c>
      <c r="D87" s="95">
        <v>39638</v>
      </c>
      <c r="E87" s="127" t="s">
        <v>236</v>
      </c>
      <c r="F87" s="127" t="s">
        <v>232</v>
      </c>
      <c r="G87" s="127" t="s">
        <v>233</v>
      </c>
      <c r="H87" s="127" t="s">
        <v>20</v>
      </c>
      <c r="I87" s="78" t="s">
        <v>366</v>
      </c>
      <c r="J87" s="85" t="s">
        <v>366</v>
      </c>
      <c r="K87" s="325">
        <v>0</v>
      </c>
      <c r="L87" s="341">
        <v>0</v>
      </c>
      <c r="M87" s="325">
        <v>0</v>
      </c>
      <c r="N87" s="354">
        <v>0</v>
      </c>
      <c r="O87" s="354">
        <v>0</v>
      </c>
      <c r="P87" s="354">
        <v>0</v>
      </c>
      <c r="Q87" s="356">
        <f t="shared" si="4"/>
        <v>0</v>
      </c>
      <c r="R87" s="358">
        <f t="shared" si="4"/>
        <v>0</v>
      </c>
      <c r="S87" s="386" t="s">
        <v>426</v>
      </c>
      <c r="T87" s="325">
        <v>0</v>
      </c>
      <c r="U87" s="366">
        <v>0</v>
      </c>
      <c r="V87" s="232" t="s">
        <v>366</v>
      </c>
      <c r="W87" s="77" t="s">
        <v>366</v>
      </c>
      <c r="X87" s="78" t="s">
        <v>41</v>
      </c>
      <c r="Y87" s="82" t="s">
        <v>427</v>
      </c>
    </row>
    <row r="88" spans="1:26" ht="28.5">
      <c r="A88" s="372" t="s">
        <v>380</v>
      </c>
      <c r="B88" s="372" t="s">
        <v>45</v>
      </c>
      <c r="C88" s="37" t="s">
        <v>205</v>
      </c>
      <c r="D88" s="95">
        <v>39643</v>
      </c>
      <c r="E88" s="127" t="s">
        <v>237</v>
      </c>
      <c r="F88" s="127" t="s">
        <v>28</v>
      </c>
      <c r="G88" s="127" t="s">
        <v>29</v>
      </c>
      <c r="H88" s="43" t="s">
        <v>98</v>
      </c>
      <c r="I88" s="435"/>
      <c r="J88" s="436"/>
      <c r="K88" s="430"/>
      <c r="L88" s="431"/>
      <c r="M88" s="430"/>
      <c r="N88" s="432"/>
      <c r="O88" s="432"/>
      <c r="P88" s="432"/>
      <c r="Q88" s="356">
        <f t="shared" si="4"/>
        <v>0</v>
      </c>
      <c r="R88" s="358">
        <f t="shared" si="4"/>
        <v>0</v>
      </c>
      <c r="S88" s="386" t="s">
        <v>305</v>
      </c>
      <c r="T88" s="324"/>
      <c r="U88" s="366"/>
      <c r="V88" s="232"/>
      <c r="W88" s="77"/>
      <c r="X88" s="78"/>
      <c r="Y88" s="82" t="s">
        <v>94</v>
      </c>
      <c r="Z88" s="383">
        <v>39665</v>
      </c>
    </row>
    <row r="89" spans="1:26" ht="28.5">
      <c r="A89" s="372" t="s">
        <v>380</v>
      </c>
      <c r="B89" s="372" t="s">
        <v>45</v>
      </c>
      <c r="C89" s="37" t="s">
        <v>206</v>
      </c>
      <c r="D89" s="95">
        <v>39643</v>
      </c>
      <c r="E89" s="127" t="s">
        <v>238</v>
      </c>
      <c r="F89" s="127" t="s">
        <v>28</v>
      </c>
      <c r="G89" s="127" t="s">
        <v>29</v>
      </c>
      <c r="H89" s="43" t="s">
        <v>98</v>
      </c>
      <c r="I89" s="435"/>
      <c r="J89" s="436"/>
      <c r="K89" s="430"/>
      <c r="L89" s="431"/>
      <c r="M89" s="430"/>
      <c r="N89" s="432"/>
      <c r="O89" s="432"/>
      <c r="P89" s="432"/>
      <c r="Q89" s="356">
        <f t="shared" si="4"/>
        <v>0</v>
      </c>
      <c r="R89" s="358">
        <f t="shared" si="4"/>
        <v>0</v>
      </c>
      <c r="S89" s="387" t="s">
        <v>305</v>
      </c>
      <c r="T89" s="325"/>
      <c r="U89" s="366"/>
      <c r="V89" s="232"/>
      <c r="W89" s="77"/>
      <c r="X89" s="78"/>
      <c r="Y89" s="82" t="s">
        <v>94</v>
      </c>
      <c r="Z89" s="383">
        <v>39665</v>
      </c>
    </row>
    <row r="90" spans="1:25" ht="14.25">
      <c r="A90" s="372" t="s">
        <v>431</v>
      </c>
      <c r="B90" s="372" t="s">
        <v>45</v>
      </c>
      <c r="C90" s="36" t="s">
        <v>207</v>
      </c>
      <c r="D90" s="95">
        <v>39650</v>
      </c>
      <c r="E90" s="127" t="s">
        <v>239</v>
      </c>
      <c r="F90" s="127" t="s">
        <v>240</v>
      </c>
      <c r="G90" s="127" t="s">
        <v>223</v>
      </c>
      <c r="H90" s="43" t="s">
        <v>98</v>
      </c>
      <c r="I90" s="435"/>
      <c r="J90" s="436"/>
      <c r="K90" s="430"/>
      <c r="L90" s="431"/>
      <c r="M90" s="430"/>
      <c r="N90" s="432"/>
      <c r="O90" s="432"/>
      <c r="P90" s="432"/>
      <c r="Q90" s="356">
        <f t="shared" si="4"/>
        <v>0</v>
      </c>
      <c r="R90" s="358">
        <f t="shared" si="4"/>
        <v>0</v>
      </c>
      <c r="S90" s="437"/>
      <c r="T90" s="430"/>
      <c r="U90" s="433"/>
      <c r="V90" s="438"/>
      <c r="W90" s="439"/>
      <c r="X90" s="435"/>
      <c r="Y90" s="83" t="s">
        <v>95</v>
      </c>
    </row>
    <row r="91" spans="1:25" ht="28.5">
      <c r="A91" s="372" t="s">
        <v>380</v>
      </c>
      <c r="B91" s="372" t="s">
        <v>6</v>
      </c>
      <c r="C91" s="37" t="s">
        <v>208</v>
      </c>
      <c r="D91" s="95">
        <v>39651</v>
      </c>
      <c r="E91" s="127" t="s">
        <v>241</v>
      </c>
      <c r="F91" s="127" t="s">
        <v>5</v>
      </c>
      <c r="G91" s="127" t="s">
        <v>242</v>
      </c>
      <c r="H91" s="43" t="s">
        <v>98</v>
      </c>
      <c r="I91" s="78" t="s">
        <v>6</v>
      </c>
      <c r="J91" s="85">
        <v>39668</v>
      </c>
      <c r="K91" s="325">
        <v>18800</v>
      </c>
      <c r="L91" s="341">
        <v>1</v>
      </c>
      <c r="M91" s="325"/>
      <c r="N91" s="354"/>
      <c r="O91" s="354"/>
      <c r="P91" s="354"/>
      <c r="Q91" s="356">
        <f t="shared" si="4"/>
        <v>18800</v>
      </c>
      <c r="R91" s="358">
        <f t="shared" si="4"/>
        <v>1</v>
      </c>
      <c r="S91" s="440" t="s">
        <v>433</v>
      </c>
      <c r="T91" s="325">
        <v>0</v>
      </c>
      <c r="U91" s="366">
        <v>0</v>
      </c>
      <c r="V91" s="232" t="s">
        <v>366</v>
      </c>
      <c r="W91" s="77">
        <v>45210</v>
      </c>
      <c r="X91" s="78" t="s">
        <v>41</v>
      </c>
      <c r="Y91" s="82" t="s">
        <v>432</v>
      </c>
    </row>
    <row r="92" spans="1:26" ht="42.75">
      <c r="A92" s="372" t="s">
        <v>380</v>
      </c>
      <c r="B92" s="372" t="s">
        <v>45</v>
      </c>
      <c r="C92" s="37" t="s">
        <v>209</v>
      </c>
      <c r="D92" s="95">
        <v>39657</v>
      </c>
      <c r="E92" s="127" t="s">
        <v>243</v>
      </c>
      <c r="F92" s="127" t="s">
        <v>244</v>
      </c>
      <c r="G92" s="127" t="s">
        <v>245</v>
      </c>
      <c r="H92" s="43" t="s">
        <v>97</v>
      </c>
      <c r="I92" s="78" t="s">
        <v>6</v>
      </c>
      <c r="J92" s="85">
        <v>39720</v>
      </c>
      <c r="K92" s="325">
        <v>41100</v>
      </c>
      <c r="L92" s="341">
        <v>1</v>
      </c>
      <c r="M92" s="325">
        <v>0</v>
      </c>
      <c r="N92" s="354">
        <v>0</v>
      </c>
      <c r="O92" s="354">
        <v>0</v>
      </c>
      <c r="P92" s="354">
        <v>0</v>
      </c>
      <c r="Q92" s="356">
        <f t="shared" si="4"/>
        <v>41100</v>
      </c>
      <c r="R92" s="358">
        <f t="shared" si="4"/>
        <v>1</v>
      </c>
      <c r="S92" s="307" t="s">
        <v>306</v>
      </c>
      <c r="T92" s="325">
        <v>0</v>
      </c>
      <c r="U92" s="366">
        <v>0</v>
      </c>
      <c r="V92" s="236">
        <v>39720</v>
      </c>
      <c r="W92" s="77">
        <v>29070</v>
      </c>
      <c r="X92" s="78" t="s">
        <v>41</v>
      </c>
      <c r="Y92" s="82" t="s">
        <v>94</v>
      </c>
      <c r="Z92" s="383">
        <v>39665</v>
      </c>
    </row>
    <row r="93" spans="1:25" ht="14.25">
      <c r="A93" s="372" t="s">
        <v>380</v>
      </c>
      <c r="B93" s="372" t="s">
        <v>45</v>
      </c>
      <c r="C93" s="37" t="s">
        <v>210</v>
      </c>
      <c r="D93" s="95">
        <v>39658</v>
      </c>
      <c r="E93" s="127" t="s">
        <v>246</v>
      </c>
      <c r="F93" s="127" t="s">
        <v>247</v>
      </c>
      <c r="G93" s="127" t="s">
        <v>248</v>
      </c>
      <c r="H93" s="43" t="s">
        <v>98</v>
      </c>
      <c r="I93" s="435"/>
      <c r="J93" s="436"/>
      <c r="K93" s="430"/>
      <c r="L93" s="431"/>
      <c r="M93" s="430"/>
      <c r="N93" s="432"/>
      <c r="O93" s="432"/>
      <c r="P93" s="432"/>
      <c r="Q93" s="356">
        <f t="shared" si="4"/>
        <v>0</v>
      </c>
      <c r="R93" s="358">
        <f t="shared" si="4"/>
        <v>0</v>
      </c>
      <c r="S93" s="307" t="s">
        <v>433</v>
      </c>
      <c r="T93" s="325"/>
      <c r="U93" s="366"/>
      <c r="V93" s="232"/>
      <c r="W93" s="77"/>
      <c r="X93" s="78"/>
      <c r="Y93" s="82" t="s">
        <v>434</v>
      </c>
    </row>
    <row r="94" spans="1:26" ht="42.75">
      <c r="A94" s="372" t="s">
        <v>380</v>
      </c>
      <c r="B94" s="372" t="s">
        <v>6</v>
      </c>
      <c r="C94" s="37" t="s">
        <v>211</v>
      </c>
      <c r="D94" s="95">
        <v>39714</v>
      </c>
      <c r="E94" s="127" t="s">
        <v>249</v>
      </c>
      <c r="F94" s="127" t="s">
        <v>16</v>
      </c>
      <c r="G94" s="127" t="s">
        <v>248</v>
      </c>
      <c r="H94" s="43" t="s">
        <v>98</v>
      </c>
      <c r="I94" s="78" t="s">
        <v>6</v>
      </c>
      <c r="J94" s="85">
        <v>39458</v>
      </c>
      <c r="K94" s="325">
        <v>15900</v>
      </c>
      <c r="L94" s="341">
        <v>0.5</v>
      </c>
      <c r="M94" s="325">
        <v>0</v>
      </c>
      <c r="N94" s="354">
        <v>0</v>
      </c>
      <c r="O94" s="354">
        <v>0</v>
      </c>
      <c r="P94" s="354">
        <v>0</v>
      </c>
      <c r="Q94" s="356">
        <f t="shared" si="4"/>
        <v>15900</v>
      </c>
      <c r="R94" s="358">
        <f t="shared" si="4"/>
        <v>0.5</v>
      </c>
      <c r="S94" s="307" t="s">
        <v>378</v>
      </c>
      <c r="T94" s="325">
        <v>0</v>
      </c>
      <c r="U94" s="366">
        <v>0</v>
      </c>
      <c r="V94" s="232">
        <v>39721</v>
      </c>
      <c r="W94" s="77">
        <v>16230</v>
      </c>
      <c r="X94" s="78" t="s">
        <v>41</v>
      </c>
      <c r="Y94" s="82" t="s">
        <v>94</v>
      </c>
      <c r="Z94" s="383">
        <v>39721</v>
      </c>
    </row>
    <row r="95" spans="1:26" ht="42.75">
      <c r="A95" s="372" t="s">
        <v>380</v>
      </c>
      <c r="B95" s="372" t="s">
        <v>6</v>
      </c>
      <c r="C95" s="37" t="s">
        <v>212</v>
      </c>
      <c r="D95" s="95">
        <v>39667</v>
      </c>
      <c r="E95" s="127" t="s">
        <v>250</v>
      </c>
      <c r="F95" s="127" t="s">
        <v>225</v>
      </c>
      <c r="G95" s="127" t="s">
        <v>51</v>
      </c>
      <c r="H95" s="127" t="s">
        <v>20</v>
      </c>
      <c r="I95" s="78" t="s">
        <v>6</v>
      </c>
      <c r="J95" s="85">
        <v>39692</v>
      </c>
      <c r="K95" s="325">
        <v>37000</v>
      </c>
      <c r="L95" s="341">
        <v>1</v>
      </c>
      <c r="M95" s="325">
        <v>0</v>
      </c>
      <c r="N95" s="354">
        <v>0</v>
      </c>
      <c r="O95" s="354">
        <v>0</v>
      </c>
      <c r="P95" s="354">
        <v>0</v>
      </c>
      <c r="Q95" s="356">
        <f t="shared" si="4"/>
        <v>37000</v>
      </c>
      <c r="R95" s="358">
        <f t="shared" si="4"/>
        <v>1</v>
      </c>
      <c r="S95" s="386" t="s">
        <v>332</v>
      </c>
      <c r="T95" s="325">
        <v>0</v>
      </c>
      <c r="U95" s="366">
        <v>0</v>
      </c>
      <c r="V95" s="232">
        <v>39714</v>
      </c>
      <c r="W95" s="77">
        <v>47110</v>
      </c>
      <c r="X95" s="78" t="s">
        <v>41</v>
      </c>
      <c r="Y95" s="82" t="s">
        <v>333</v>
      </c>
      <c r="Z95" s="383">
        <v>39714</v>
      </c>
    </row>
    <row r="96" spans="1:25" ht="14.25">
      <c r="A96" s="372" t="s">
        <v>431</v>
      </c>
      <c r="B96" s="372" t="s">
        <v>45</v>
      </c>
      <c r="C96" s="36" t="s">
        <v>213</v>
      </c>
      <c r="D96" s="95">
        <v>39667</v>
      </c>
      <c r="E96" s="127" t="s">
        <v>251</v>
      </c>
      <c r="F96" s="127" t="s">
        <v>43</v>
      </c>
      <c r="G96" s="127" t="s">
        <v>64</v>
      </c>
      <c r="H96" s="43" t="s">
        <v>98</v>
      </c>
      <c r="I96" s="435"/>
      <c r="J96" s="436"/>
      <c r="K96" s="430"/>
      <c r="L96" s="431"/>
      <c r="M96" s="430"/>
      <c r="N96" s="432"/>
      <c r="O96" s="432"/>
      <c r="P96" s="432"/>
      <c r="Q96" s="356">
        <f t="shared" si="4"/>
        <v>0</v>
      </c>
      <c r="R96" s="358">
        <f t="shared" si="4"/>
        <v>0</v>
      </c>
      <c r="S96" s="227">
        <v>39672</v>
      </c>
      <c r="T96" s="325"/>
      <c r="U96" s="368"/>
      <c r="V96" s="232"/>
      <c r="W96" s="77"/>
      <c r="X96" s="78"/>
      <c r="Y96" s="83" t="s">
        <v>95</v>
      </c>
    </row>
    <row r="97" spans="1:26" ht="57">
      <c r="A97" s="372" t="s">
        <v>380</v>
      </c>
      <c r="B97" s="372" t="s">
        <v>6</v>
      </c>
      <c r="C97" s="30" t="s">
        <v>214</v>
      </c>
      <c r="D97" s="95">
        <v>39668</v>
      </c>
      <c r="E97" s="127" t="s">
        <v>228</v>
      </c>
      <c r="F97" s="127" t="s">
        <v>229</v>
      </c>
      <c r="G97" s="127" t="s">
        <v>31</v>
      </c>
      <c r="H97" s="43" t="s">
        <v>98</v>
      </c>
      <c r="I97" s="78" t="s">
        <v>6</v>
      </c>
      <c r="J97" s="85">
        <v>39312</v>
      </c>
      <c r="K97" s="325">
        <v>27200</v>
      </c>
      <c r="L97" s="341">
        <v>1</v>
      </c>
      <c r="M97" s="325">
        <v>0</v>
      </c>
      <c r="N97" s="354">
        <v>0</v>
      </c>
      <c r="O97" s="354">
        <v>0</v>
      </c>
      <c r="P97" s="354">
        <v>0</v>
      </c>
      <c r="Q97" s="356">
        <f t="shared" si="4"/>
        <v>27200</v>
      </c>
      <c r="R97" s="358">
        <f t="shared" si="4"/>
        <v>1</v>
      </c>
      <c r="S97" s="385" t="s">
        <v>365</v>
      </c>
      <c r="T97" s="370">
        <f>27200-6000</f>
        <v>21200</v>
      </c>
      <c r="U97" s="371">
        <v>1</v>
      </c>
      <c r="V97" s="232">
        <v>39672</v>
      </c>
      <c r="W97" s="77">
        <v>11510</v>
      </c>
      <c r="X97" s="78" t="s">
        <v>326</v>
      </c>
      <c r="Y97" s="80" t="s">
        <v>261</v>
      </c>
      <c r="Z97" s="383">
        <v>39672</v>
      </c>
    </row>
    <row r="98" spans="1:25" ht="14.25">
      <c r="A98" s="372" t="s">
        <v>431</v>
      </c>
      <c r="B98" s="372" t="s">
        <v>45</v>
      </c>
      <c r="C98" s="36" t="s">
        <v>313</v>
      </c>
      <c r="D98" s="84"/>
      <c r="E98" s="32" t="s">
        <v>435</v>
      </c>
      <c r="F98" s="32" t="s">
        <v>436</v>
      </c>
      <c r="G98" s="32" t="s">
        <v>62</v>
      </c>
      <c r="H98" s="129" t="s">
        <v>99</v>
      </c>
      <c r="I98" s="435"/>
      <c r="J98" s="436"/>
      <c r="K98" s="430"/>
      <c r="L98" s="431"/>
      <c r="M98" s="430"/>
      <c r="N98" s="432"/>
      <c r="O98" s="432"/>
      <c r="P98" s="432"/>
      <c r="Q98" s="356">
        <f t="shared" si="4"/>
        <v>0</v>
      </c>
      <c r="R98" s="358">
        <f t="shared" si="4"/>
        <v>0</v>
      </c>
      <c r="S98" s="86"/>
      <c r="T98" s="325"/>
      <c r="U98" s="366"/>
      <c r="V98" s="232"/>
      <c r="W98" s="77"/>
      <c r="X98" s="78"/>
      <c r="Y98" s="83" t="s">
        <v>95</v>
      </c>
    </row>
    <row r="99" spans="1:25" ht="14.25">
      <c r="A99" s="372" t="s">
        <v>431</v>
      </c>
      <c r="B99" s="372" t="s">
        <v>45</v>
      </c>
      <c r="C99" s="36" t="s">
        <v>314</v>
      </c>
      <c r="D99" s="84">
        <v>39673</v>
      </c>
      <c r="E99" s="32" t="s">
        <v>437</v>
      </c>
      <c r="F99" s="32" t="s">
        <v>43</v>
      </c>
      <c r="G99" s="32" t="s">
        <v>31</v>
      </c>
      <c r="H99" s="129" t="s">
        <v>98</v>
      </c>
      <c r="I99" s="435"/>
      <c r="J99" s="436"/>
      <c r="K99" s="430"/>
      <c r="L99" s="431"/>
      <c r="M99" s="430"/>
      <c r="N99" s="432"/>
      <c r="O99" s="432"/>
      <c r="P99" s="432"/>
      <c r="Q99" s="356">
        <f t="shared" si="4"/>
        <v>0</v>
      </c>
      <c r="R99" s="358">
        <f t="shared" si="4"/>
        <v>0</v>
      </c>
      <c r="S99" s="86"/>
      <c r="T99" s="325"/>
      <c r="U99" s="366"/>
      <c r="V99" s="232"/>
      <c r="W99" s="77"/>
      <c r="X99" s="78"/>
      <c r="Y99" s="83" t="s">
        <v>95</v>
      </c>
    </row>
    <row r="100" spans="1:25" ht="28.5">
      <c r="A100" s="372" t="s">
        <v>380</v>
      </c>
      <c r="B100" s="372" t="s">
        <v>6</v>
      </c>
      <c r="C100" s="88" t="s">
        <v>315</v>
      </c>
      <c r="D100" s="84">
        <v>39678</v>
      </c>
      <c r="E100" s="128" t="s">
        <v>356</v>
      </c>
      <c r="F100" s="128" t="s">
        <v>12</v>
      </c>
      <c r="G100" s="128" t="s">
        <v>11</v>
      </c>
      <c r="H100" s="129" t="s">
        <v>98</v>
      </c>
      <c r="I100" s="78" t="s">
        <v>6</v>
      </c>
      <c r="J100" s="85">
        <v>39681</v>
      </c>
      <c r="K100" s="430"/>
      <c r="L100" s="342">
        <v>0.73</v>
      </c>
      <c r="M100" s="325">
        <f>-K100</f>
        <v>0</v>
      </c>
      <c r="N100" s="354">
        <f>-L100</f>
        <v>-0.73</v>
      </c>
      <c r="O100" s="354"/>
      <c r="P100" s="354"/>
      <c r="Q100" s="356">
        <f aca="true" t="shared" si="5" ref="Q100:Q125">K100+M100+O100</f>
        <v>0</v>
      </c>
      <c r="R100" s="358">
        <f aca="true" t="shared" si="6" ref="R100:R125">L100+N100+P100</f>
        <v>0</v>
      </c>
      <c r="S100" s="384" t="s">
        <v>433</v>
      </c>
      <c r="T100" s="325">
        <v>0</v>
      </c>
      <c r="U100" s="366">
        <v>0</v>
      </c>
      <c r="V100" s="232" t="s">
        <v>366</v>
      </c>
      <c r="W100" s="77" t="s">
        <v>366</v>
      </c>
      <c r="X100" s="78" t="s">
        <v>41</v>
      </c>
      <c r="Y100" s="87" t="s">
        <v>438</v>
      </c>
    </row>
    <row r="101" spans="1:26" ht="57">
      <c r="A101" s="372" t="s">
        <v>380</v>
      </c>
      <c r="B101" s="372" t="s">
        <v>6</v>
      </c>
      <c r="C101" s="37" t="s">
        <v>316</v>
      </c>
      <c r="D101" s="84">
        <v>39692</v>
      </c>
      <c r="E101" s="128" t="s">
        <v>354</v>
      </c>
      <c r="F101" s="128" t="s">
        <v>26</v>
      </c>
      <c r="G101" s="128" t="s">
        <v>355</v>
      </c>
      <c r="H101" s="129" t="s">
        <v>99</v>
      </c>
      <c r="I101" s="78" t="s">
        <v>6</v>
      </c>
      <c r="J101" s="85">
        <v>39569</v>
      </c>
      <c r="K101" s="325">
        <v>14300</v>
      </c>
      <c r="L101" s="341">
        <v>0.8</v>
      </c>
      <c r="M101" s="326">
        <f>-K101/2</f>
        <v>-7150</v>
      </c>
      <c r="N101" s="401">
        <f>-L101/2</f>
        <v>-0.4</v>
      </c>
      <c r="O101" s="354">
        <v>0</v>
      </c>
      <c r="P101" s="354">
        <v>0</v>
      </c>
      <c r="Q101" s="356">
        <f t="shared" si="5"/>
        <v>7150</v>
      </c>
      <c r="R101" s="358">
        <f t="shared" si="6"/>
        <v>0.4</v>
      </c>
      <c r="S101" s="307" t="s">
        <v>379</v>
      </c>
      <c r="T101" s="325">
        <v>0</v>
      </c>
      <c r="U101" s="366">
        <v>0</v>
      </c>
      <c r="V101" s="232">
        <v>39707</v>
      </c>
      <c r="W101" s="77">
        <v>26000</v>
      </c>
      <c r="X101" s="78" t="s">
        <v>41</v>
      </c>
      <c r="Y101" s="82" t="s">
        <v>377</v>
      </c>
      <c r="Z101" s="383">
        <v>39707</v>
      </c>
    </row>
    <row r="102" spans="1:25" ht="42.75">
      <c r="A102" s="372" t="s">
        <v>380</v>
      </c>
      <c r="B102" s="372" t="s">
        <v>6</v>
      </c>
      <c r="C102" s="37" t="s">
        <v>317</v>
      </c>
      <c r="D102" s="84">
        <v>39695</v>
      </c>
      <c r="E102" s="32" t="s">
        <v>439</v>
      </c>
      <c r="F102" s="32" t="s">
        <v>28</v>
      </c>
      <c r="G102" s="32" t="s">
        <v>440</v>
      </c>
      <c r="H102" s="129" t="s">
        <v>98</v>
      </c>
      <c r="I102" s="78" t="s">
        <v>6</v>
      </c>
      <c r="J102" s="85">
        <v>39717</v>
      </c>
      <c r="K102" s="325">
        <v>4200</v>
      </c>
      <c r="L102" s="341">
        <v>0.3</v>
      </c>
      <c r="M102" s="325">
        <v>0</v>
      </c>
      <c r="N102" s="354">
        <v>0</v>
      </c>
      <c r="O102" s="354">
        <v>0</v>
      </c>
      <c r="P102" s="354">
        <v>0</v>
      </c>
      <c r="Q102" s="356">
        <f t="shared" si="5"/>
        <v>4200</v>
      </c>
      <c r="R102" s="358">
        <f t="shared" si="6"/>
        <v>0.3</v>
      </c>
      <c r="S102" s="307" t="s">
        <v>467</v>
      </c>
      <c r="T102" s="325">
        <v>0</v>
      </c>
      <c r="U102" s="366">
        <v>0</v>
      </c>
      <c r="V102" s="232">
        <v>39777</v>
      </c>
      <c r="W102" s="77" t="s">
        <v>366</v>
      </c>
      <c r="X102" s="78" t="s">
        <v>41</v>
      </c>
      <c r="Y102" s="82" t="s">
        <v>468</v>
      </c>
    </row>
    <row r="103" spans="1:25" ht="14.25">
      <c r="A103" s="372" t="s">
        <v>431</v>
      </c>
      <c r="B103" s="372" t="s">
        <v>45</v>
      </c>
      <c r="C103" s="36" t="s">
        <v>318</v>
      </c>
      <c r="D103" s="84">
        <v>39696</v>
      </c>
      <c r="E103" s="32" t="s">
        <v>441</v>
      </c>
      <c r="F103" s="32" t="s">
        <v>43</v>
      </c>
      <c r="G103" s="32" t="s">
        <v>64</v>
      </c>
      <c r="H103" s="129" t="s">
        <v>98</v>
      </c>
      <c r="I103" s="435"/>
      <c r="J103" s="436"/>
      <c r="K103" s="430"/>
      <c r="L103" s="431"/>
      <c r="M103" s="430"/>
      <c r="N103" s="432"/>
      <c r="O103" s="432"/>
      <c r="P103" s="432"/>
      <c r="Q103" s="356">
        <f t="shared" si="5"/>
        <v>0</v>
      </c>
      <c r="R103" s="358">
        <f t="shared" si="6"/>
        <v>0</v>
      </c>
      <c r="S103" s="86"/>
      <c r="T103" s="325"/>
      <c r="U103" s="366"/>
      <c r="V103" s="232"/>
      <c r="W103" s="77"/>
      <c r="X103" s="78"/>
      <c r="Y103" s="83" t="s">
        <v>95</v>
      </c>
    </row>
    <row r="104" spans="1:26" ht="42.75">
      <c r="A104" s="372" t="s">
        <v>380</v>
      </c>
      <c r="B104" s="372" t="s">
        <v>6</v>
      </c>
      <c r="C104" s="37" t="s">
        <v>319</v>
      </c>
      <c r="D104" s="84">
        <v>39702</v>
      </c>
      <c r="E104" s="128" t="s">
        <v>320</v>
      </c>
      <c r="F104" s="128" t="s">
        <v>321</v>
      </c>
      <c r="G104" s="128" t="s">
        <v>68</v>
      </c>
      <c r="H104" s="129" t="s">
        <v>20</v>
      </c>
      <c r="I104" s="78" t="s">
        <v>6</v>
      </c>
      <c r="J104" s="85">
        <v>39732</v>
      </c>
      <c r="K104" s="325">
        <v>29100</v>
      </c>
      <c r="L104" s="341">
        <v>1</v>
      </c>
      <c r="M104" s="325">
        <v>0</v>
      </c>
      <c r="N104" s="354">
        <v>0</v>
      </c>
      <c r="O104" s="354">
        <v>0</v>
      </c>
      <c r="P104" s="354">
        <v>0</v>
      </c>
      <c r="Q104" s="356">
        <f t="shared" si="5"/>
        <v>29100</v>
      </c>
      <c r="R104" s="358">
        <f t="shared" si="6"/>
        <v>1</v>
      </c>
      <c r="S104" s="307" t="s">
        <v>375</v>
      </c>
      <c r="T104" s="325">
        <v>0</v>
      </c>
      <c r="U104" s="366">
        <v>0</v>
      </c>
      <c r="V104" s="232">
        <v>39707</v>
      </c>
      <c r="W104" s="77">
        <v>35020</v>
      </c>
      <c r="X104" s="78" t="s">
        <v>41</v>
      </c>
      <c r="Y104" s="82" t="s">
        <v>94</v>
      </c>
      <c r="Z104" s="383">
        <v>39707</v>
      </c>
    </row>
    <row r="105" spans="1:26" ht="42.75">
      <c r="A105" s="372" t="s">
        <v>380</v>
      </c>
      <c r="B105" s="372" t="s">
        <v>6</v>
      </c>
      <c r="C105" s="37" t="s">
        <v>323</v>
      </c>
      <c r="D105" s="84">
        <v>39708</v>
      </c>
      <c r="E105" s="32" t="s">
        <v>324</v>
      </c>
      <c r="F105" s="32" t="s">
        <v>127</v>
      </c>
      <c r="G105" s="32" t="s">
        <v>325</v>
      </c>
      <c r="H105" s="129" t="s">
        <v>99</v>
      </c>
      <c r="I105" s="78" t="s">
        <v>336</v>
      </c>
      <c r="J105" s="85">
        <v>39766</v>
      </c>
      <c r="K105" s="325">
        <v>15400</v>
      </c>
      <c r="L105" s="341">
        <v>1</v>
      </c>
      <c r="M105" s="325">
        <v>0</v>
      </c>
      <c r="N105" s="354">
        <v>0</v>
      </c>
      <c r="O105" s="354">
        <v>0</v>
      </c>
      <c r="P105" s="354">
        <v>0</v>
      </c>
      <c r="Q105" s="356">
        <f t="shared" si="5"/>
        <v>15400</v>
      </c>
      <c r="R105" s="358">
        <f t="shared" si="6"/>
        <v>1</v>
      </c>
      <c r="S105" s="284" t="s">
        <v>337</v>
      </c>
      <c r="T105" s="325">
        <v>0</v>
      </c>
      <c r="U105" s="366">
        <v>0</v>
      </c>
      <c r="V105" s="232">
        <v>39728</v>
      </c>
      <c r="W105" s="77" t="s">
        <v>366</v>
      </c>
      <c r="X105" s="78" t="s">
        <v>41</v>
      </c>
      <c r="Y105" s="82" t="s">
        <v>327</v>
      </c>
      <c r="Z105" s="383">
        <v>39728</v>
      </c>
    </row>
    <row r="106" spans="1:26" ht="42.75">
      <c r="A106" s="372" t="s">
        <v>380</v>
      </c>
      <c r="B106" s="372" t="s">
        <v>6</v>
      </c>
      <c r="C106" s="37" t="s">
        <v>328</v>
      </c>
      <c r="D106" s="84">
        <v>39708</v>
      </c>
      <c r="E106" s="32" t="s">
        <v>329</v>
      </c>
      <c r="F106" s="32" t="s">
        <v>330</v>
      </c>
      <c r="G106" s="32" t="s">
        <v>331</v>
      </c>
      <c r="H106" s="129" t="s">
        <v>20</v>
      </c>
      <c r="I106" s="78" t="s">
        <v>371</v>
      </c>
      <c r="J106" s="85">
        <v>39727</v>
      </c>
      <c r="K106" s="325">
        <v>9300</v>
      </c>
      <c r="L106" s="341">
        <v>1</v>
      </c>
      <c r="M106" s="325">
        <v>0</v>
      </c>
      <c r="N106" s="354">
        <v>0</v>
      </c>
      <c r="O106" s="354">
        <v>0</v>
      </c>
      <c r="P106" s="354">
        <v>0</v>
      </c>
      <c r="Q106" s="356">
        <f t="shared" si="5"/>
        <v>9300</v>
      </c>
      <c r="R106" s="358">
        <f t="shared" si="6"/>
        <v>1</v>
      </c>
      <c r="S106" s="307" t="s">
        <v>363</v>
      </c>
      <c r="T106" s="325">
        <v>0</v>
      </c>
      <c r="U106" s="366">
        <v>0</v>
      </c>
      <c r="V106" s="232">
        <v>39721</v>
      </c>
      <c r="W106" s="77" t="s">
        <v>366</v>
      </c>
      <c r="X106" s="78" t="s">
        <v>41</v>
      </c>
      <c r="Y106" s="82" t="s">
        <v>364</v>
      </c>
      <c r="Z106" s="383">
        <v>39721</v>
      </c>
    </row>
    <row r="107" spans="1:26" ht="57">
      <c r="A107" s="372" t="s">
        <v>380</v>
      </c>
      <c r="B107" s="372" t="s">
        <v>6</v>
      </c>
      <c r="C107" s="97" t="s">
        <v>334</v>
      </c>
      <c r="D107" s="84">
        <v>39716</v>
      </c>
      <c r="E107" s="32" t="s">
        <v>53</v>
      </c>
      <c r="F107" s="32"/>
      <c r="G107" s="32" t="s">
        <v>335</v>
      </c>
      <c r="H107" s="129" t="s">
        <v>98</v>
      </c>
      <c r="I107" s="78" t="s">
        <v>45</v>
      </c>
      <c r="J107" s="85">
        <v>39734</v>
      </c>
      <c r="K107" s="327">
        <v>32600</v>
      </c>
      <c r="L107" s="343">
        <v>1</v>
      </c>
      <c r="M107" s="325">
        <v>0</v>
      </c>
      <c r="N107" s="354">
        <v>0</v>
      </c>
      <c r="O107" s="354">
        <v>-32600</v>
      </c>
      <c r="P107" s="354">
        <v>-1</v>
      </c>
      <c r="Q107" s="356">
        <f t="shared" si="5"/>
        <v>0</v>
      </c>
      <c r="R107" s="358">
        <f t="shared" si="6"/>
        <v>0</v>
      </c>
      <c r="S107" s="399" t="s">
        <v>363</v>
      </c>
      <c r="T107" s="325">
        <v>0</v>
      </c>
      <c r="U107" s="366">
        <v>0</v>
      </c>
      <c r="V107" s="232">
        <v>39721</v>
      </c>
      <c r="W107" s="77">
        <v>24050</v>
      </c>
      <c r="X107" s="78" t="s">
        <v>41</v>
      </c>
      <c r="Y107" s="98" t="s">
        <v>408</v>
      </c>
      <c r="Z107" s="383">
        <v>39721</v>
      </c>
    </row>
    <row r="108" spans="1:25" ht="14.25">
      <c r="A108" s="372" t="s">
        <v>431</v>
      </c>
      <c r="B108" s="372" t="s">
        <v>45</v>
      </c>
      <c r="C108" s="36" t="s">
        <v>341</v>
      </c>
      <c r="D108" s="84">
        <v>39710</v>
      </c>
      <c r="E108" s="32" t="s">
        <v>442</v>
      </c>
      <c r="F108" s="32" t="s">
        <v>232</v>
      </c>
      <c r="G108" s="32" t="s">
        <v>235</v>
      </c>
      <c r="H108" s="129" t="s">
        <v>20</v>
      </c>
      <c r="I108" s="435"/>
      <c r="J108" s="436"/>
      <c r="K108" s="430"/>
      <c r="L108" s="431"/>
      <c r="M108" s="430"/>
      <c r="N108" s="432"/>
      <c r="O108" s="432"/>
      <c r="P108" s="432"/>
      <c r="Q108" s="356">
        <f t="shared" si="5"/>
        <v>0</v>
      </c>
      <c r="R108" s="358">
        <f t="shared" si="6"/>
        <v>0</v>
      </c>
      <c r="S108" s="283"/>
      <c r="T108" s="325"/>
      <c r="U108" s="366"/>
      <c r="V108" s="232"/>
      <c r="W108" s="77"/>
      <c r="X108" s="78"/>
      <c r="Y108" s="83" t="s">
        <v>95</v>
      </c>
    </row>
    <row r="109" spans="1:25" ht="14.25">
      <c r="A109" s="372" t="s">
        <v>431</v>
      </c>
      <c r="B109" s="372" t="s">
        <v>45</v>
      </c>
      <c r="C109" s="36" t="s">
        <v>342</v>
      </c>
      <c r="D109" s="84">
        <v>39714</v>
      </c>
      <c r="E109" s="32" t="s">
        <v>443</v>
      </c>
      <c r="F109" s="32" t="s">
        <v>226</v>
      </c>
      <c r="G109" s="32" t="s">
        <v>31</v>
      </c>
      <c r="H109" s="129" t="s">
        <v>98</v>
      </c>
      <c r="I109" s="435"/>
      <c r="J109" s="436"/>
      <c r="K109" s="430"/>
      <c r="L109" s="431"/>
      <c r="M109" s="430"/>
      <c r="N109" s="432"/>
      <c r="O109" s="432"/>
      <c r="P109" s="432"/>
      <c r="Q109" s="356">
        <f t="shared" si="5"/>
        <v>0</v>
      </c>
      <c r="R109" s="358">
        <f t="shared" si="6"/>
        <v>0</v>
      </c>
      <c r="S109" s="283"/>
      <c r="T109" s="325"/>
      <c r="U109" s="366"/>
      <c r="V109" s="232"/>
      <c r="W109" s="77"/>
      <c r="X109" s="78"/>
      <c r="Y109" s="83" t="s">
        <v>95</v>
      </c>
    </row>
    <row r="110" spans="1:26" ht="42.75">
      <c r="A110" s="372" t="s">
        <v>380</v>
      </c>
      <c r="B110" s="372" t="s">
        <v>6</v>
      </c>
      <c r="C110" s="37" t="s">
        <v>338</v>
      </c>
      <c r="D110" s="84"/>
      <c r="E110" s="32" t="s">
        <v>339</v>
      </c>
      <c r="F110" s="32" t="s">
        <v>8</v>
      </c>
      <c r="G110" s="32" t="s">
        <v>9</v>
      </c>
      <c r="H110" s="129" t="s">
        <v>39</v>
      </c>
      <c r="I110" s="78" t="s">
        <v>6</v>
      </c>
      <c r="J110" s="85">
        <v>39749</v>
      </c>
      <c r="K110" s="325">
        <v>8100</v>
      </c>
      <c r="L110" s="341">
        <v>0.5</v>
      </c>
      <c r="M110" s="325">
        <v>0</v>
      </c>
      <c r="N110" s="354">
        <v>0</v>
      </c>
      <c r="O110" s="354">
        <v>0</v>
      </c>
      <c r="P110" s="354">
        <v>0</v>
      </c>
      <c r="Q110" s="356">
        <f t="shared" si="5"/>
        <v>8100</v>
      </c>
      <c r="R110" s="358">
        <f t="shared" si="6"/>
        <v>0.5</v>
      </c>
      <c r="S110" s="284" t="s">
        <v>340</v>
      </c>
      <c r="T110" s="325">
        <v>0</v>
      </c>
      <c r="U110" s="366">
        <v>0</v>
      </c>
      <c r="V110" s="232">
        <v>39735</v>
      </c>
      <c r="W110" s="77" t="s">
        <v>366</v>
      </c>
      <c r="X110" s="78" t="s">
        <v>41</v>
      </c>
      <c r="Y110" s="82" t="s">
        <v>94</v>
      </c>
      <c r="Z110" s="383">
        <v>39735</v>
      </c>
    </row>
    <row r="111" spans="1:25" ht="14.25">
      <c r="A111" s="372" t="s">
        <v>431</v>
      </c>
      <c r="B111" s="372" t="s">
        <v>6</v>
      </c>
      <c r="C111" s="36" t="s">
        <v>343</v>
      </c>
      <c r="D111" s="84">
        <v>39727</v>
      </c>
      <c r="E111" s="32" t="s">
        <v>444</v>
      </c>
      <c r="F111" s="32" t="s">
        <v>247</v>
      </c>
      <c r="G111" s="32" t="s">
        <v>445</v>
      </c>
      <c r="H111" s="129" t="s">
        <v>98</v>
      </c>
      <c r="I111" s="435"/>
      <c r="J111" s="436"/>
      <c r="K111" s="430"/>
      <c r="L111" s="431"/>
      <c r="M111" s="430"/>
      <c r="N111" s="432"/>
      <c r="O111" s="432"/>
      <c r="P111" s="432"/>
      <c r="Q111" s="356">
        <f t="shared" si="5"/>
        <v>0</v>
      </c>
      <c r="R111" s="358">
        <f t="shared" si="6"/>
        <v>0</v>
      </c>
      <c r="S111" s="283"/>
      <c r="T111" s="325"/>
      <c r="U111" s="366"/>
      <c r="V111" s="232"/>
      <c r="W111" s="77"/>
      <c r="X111" s="78"/>
      <c r="Y111" s="83" t="s">
        <v>95</v>
      </c>
    </row>
    <row r="112" spans="1:25" ht="99.75">
      <c r="A112" s="372" t="s">
        <v>466</v>
      </c>
      <c r="B112" s="372" t="s">
        <v>6</v>
      </c>
      <c r="C112" s="3" t="s">
        <v>344</v>
      </c>
      <c r="D112" s="84">
        <v>39741</v>
      </c>
      <c r="E112" s="32" t="s">
        <v>446</v>
      </c>
      <c r="F112" s="32" t="s">
        <v>12</v>
      </c>
      <c r="G112" s="32" t="s">
        <v>11</v>
      </c>
      <c r="H112" s="129" t="s">
        <v>98</v>
      </c>
      <c r="I112" s="78" t="s">
        <v>6</v>
      </c>
      <c r="J112" s="85">
        <v>39772</v>
      </c>
      <c r="K112" s="325"/>
      <c r="L112" s="341"/>
      <c r="M112" s="325"/>
      <c r="N112" s="354"/>
      <c r="O112" s="354"/>
      <c r="P112" s="354"/>
      <c r="Q112" s="356">
        <f t="shared" si="5"/>
        <v>0</v>
      </c>
      <c r="R112" s="358">
        <f t="shared" si="6"/>
        <v>0</v>
      </c>
      <c r="S112" s="283"/>
      <c r="T112" s="325"/>
      <c r="U112" s="366"/>
      <c r="V112" s="232"/>
      <c r="W112" s="77"/>
      <c r="X112" s="78"/>
      <c r="Y112" s="116" t="s">
        <v>469</v>
      </c>
    </row>
    <row r="113" spans="1:25" ht="71.25">
      <c r="A113" s="372" t="s">
        <v>466</v>
      </c>
      <c r="B113" s="372" t="s">
        <v>6</v>
      </c>
      <c r="C113" s="3" t="s">
        <v>345</v>
      </c>
      <c r="D113" s="84">
        <v>39741</v>
      </c>
      <c r="E113" s="32" t="s">
        <v>352</v>
      </c>
      <c r="F113" s="32" t="s">
        <v>161</v>
      </c>
      <c r="G113" s="32" t="s">
        <v>353</v>
      </c>
      <c r="H113" s="129" t="s">
        <v>99</v>
      </c>
      <c r="I113" s="78" t="s">
        <v>6</v>
      </c>
      <c r="J113" s="85">
        <v>39814</v>
      </c>
      <c r="K113" s="325"/>
      <c r="L113" s="341"/>
      <c r="M113" s="325"/>
      <c r="N113" s="354"/>
      <c r="O113" s="354"/>
      <c r="P113" s="354"/>
      <c r="Q113" s="356">
        <f t="shared" si="5"/>
        <v>0</v>
      </c>
      <c r="R113" s="358">
        <f t="shared" si="6"/>
        <v>0</v>
      </c>
      <c r="S113" s="283" t="s">
        <v>406</v>
      </c>
      <c r="T113" s="325"/>
      <c r="U113" s="366"/>
      <c r="V113" s="232"/>
      <c r="W113" s="77"/>
      <c r="X113" s="78"/>
      <c r="Y113" s="116" t="s">
        <v>471</v>
      </c>
    </row>
    <row r="114" spans="1:25" ht="42.75">
      <c r="A114" s="372" t="s">
        <v>380</v>
      </c>
      <c r="B114" s="372" t="s">
        <v>6</v>
      </c>
      <c r="C114" s="37" t="s">
        <v>346</v>
      </c>
      <c r="D114" s="84">
        <v>39745</v>
      </c>
      <c r="E114" s="32" t="s">
        <v>447</v>
      </c>
      <c r="F114" s="32" t="s">
        <v>216</v>
      </c>
      <c r="G114" s="32" t="s">
        <v>31</v>
      </c>
      <c r="H114" s="129" t="s">
        <v>98</v>
      </c>
      <c r="I114" s="78" t="s">
        <v>6</v>
      </c>
      <c r="J114" s="85">
        <v>39767</v>
      </c>
      <c r="K114" s="325">
        <v>18800</v>
      </c>
      <c r="L114" s="341">
        <v>1</v>
      </c>
      <c r="M114" s="325">
        <v>0</v>
      </c>
      <c r="N114" s="354">
        <v>0</v>
      </c>
      <c r="O114" s="354">
        <v>0</v>
      </c>
      <c r="P114" s="354">
        <v>0</v>
      </c>
      <c r="Q114" s="356">
        <f t="shared" si="5"/>
        <v>18800</v>
      </c>
      <c r="R114" s="358">
        <f t="shared" si="6"/>
        <v>1</v>
      </c>
      <c r="S114" s="284" t="s">
        <v>467</v>
      </c>
      <c r="T114" s="325">
        <v>0</v>
      </c>
      <c r="U114" s="366" t="s">
        <v>366</v>
      </c>
      <c r="V114" s="232">
        <v>39777</v>
      </c>
      <c r="W114" s="77">
        <v>26520</v>
      </c>
      <c r="X114" s="78" t="s">
        <v>41</v>
      </c>
      <c r="Y114" s="82" t="s">
        <v>470</v>
      </c>
    </row>
    <row r="115" spans="1:25" ht="28.5">
      <c r="A115" s="372" t="s">
        <v>380</v>
      </c>
      <c r="B115" s="372" t="s">
        <v>45</v>
      </c>
      <c r="C115" s="36" t="s">
        <v>347</v>
      </c>
      <c r="D115" s="84">
        <v>39748</v>
      </c>
      <c r="E115" s="32" t="s">
        <v>410</v>
      </c>
      <c r="F115" s="32" t="s">
        <v>5</v>
      </c>
      <c r="G115" s="32" t="s">
        <v>3</v>
      </c>
      <c r="H115" s="129" t="s">
        <v>97</v>
      </c>
      <c r="I115" s="435"/>
      <c r="J115" s="436"/>
      <c r="K115" s="430"/>
      <c r="L115" s="341"/>
      <c r="M115" s="325"/>
      <c r="N115" s="354"/>
      <c r="O115" s="354"/>
      <c r="P115" s="354"/>
      <c r="Q115" s="356">
        <f t="shared" si="5"/>
        <v>0</v>
      </c>
      <c r="R115" s="358">
        <f t="shared" si="6"/>
        <v>0</v>
      </c>
      <c r="S115" s="284" t="s">
        <v>409</v>
      </c>
      <c r="T115" s="325"/>
      <c r="U115" s="366"/>
      <c r="V115" s="232"/>
      <c r="W115" s="77"/>
      <c r="X115" s="78"/>
      <c r="Y115" s="82"/>
    </row>
    <row r="116" spans="1:25" ht="14.25">
      <c r="A116" s="372" t="s">
        <v>431</v>
      </c>
      <c r="B116" s="372" t="s">
        <v>45</v>
      </c>
      <c r="C116" s="36" t="s">
        <v>348</v>
      </c>
      <c r="D116" s="84">
        <v>39755</v>
      </c>
      <c r="E116" s="32" t="s">
        <v>448</v>
      </c>
      <c r="F116" s="32" t="s">
        <v>28</v>
      </c>
      <c r="G116" s="32" t="s">
        <v>29</v>
      </c>
      <c r="H116" s="129" t="s">
        <v>98</v>
      </c>
      <c r="I116" s="435"/>
      <c r="J116" s="436"/>
      <c r="K116" s="430"/>
      <c r="L116" s="431"/>
      <c r="M116" s="430"/>
      <c r="N116" s="432"/>
      <c r="O116" s="432"/>
      <c r="P116" s="432"/>
      <c r="Q116" s="356">
        <f t="shared" si="5"/>
        <v>0</v>
      </c>
      <c r="R116" s="358">
        <f t="shared" si="6"/>
        <v>0</v>
      </c>
      <c r="S116" s="283"/>
      <c r="T116" s="325"/>
      <c r="U116" s="366"/>
      <c r="V116" s="232"/>
      <c r="W116" s="77"/>
      <c r="X116" s="78"/>
      <c r="Y116" s="83" t="s">
        <v>95</v>
      </c>
    </row>
    <row r="117" spans="1:25" ht="57">
      <c r="A117" s="372" t="s">
        <v>380</v>
      </c>
      <c r="B117" s="372" t="s">
        <v>6</v>
      </c>
      <c r="C117" s="37" t="s">
        <v>349</v>
      </c>
      <c r="D117" s="84">
        <v>39755</v>
      </c>
      <c r="E117" s="32" t="s">
        <v>126</v>
      </c>
      <c r="F117" s="32" t="s">
        <v>127</v>
      </c>
      <c r="G117" s="32" t="s">
        <v>350</v>
      </c>
      <c r="H117" s="129" t="s">
        <v>99</v>
      </c>
      <c r="I117" s="78" t="s">
        <v>6</v>
      </c>
      <c r="J117" s="85">
        <v>39770</v>
      </c>
      <c r="K117" s="325">
        <v>22100</v>
      </c>
      <c r="L117" s="341">
        <v>1</v>
      </c>
      <c r="M117" s="325">
        <v>0</v>
      </c>
      <c r="N117" s="354">
        <v>0</v>
      </c>
      <c r="O117" s="354">
        <v>0</v>
      </c>
      <c r="P117" s="354">
        <v>0</v>
      </c>
      <c r="Q117" s="356">
        <f t="shared" si="5"/>
        <v>22100</v>
      </c>
      <c r="R117" s="358">
        <f t="shared" si="6"/>
        <v>1</v>
      </c>
      <c r="S117" s="284" t="s">
        <v>455</v>
      </c>
      <c r="T117" s="325">
        <v>0</v>
      </c>
      <c r="U117" s="366">
        <v>0</v>
      </c>
      <c r="V117" s="232">
        <v>39770</v>
      </c>
      <c r="W117" s="77">
        <v>25500</v>
      </c>
      <c r="X117" s="78" t="s">
        <v>41</v>
      </c>
      <c r="Y117" s="82" t="s">
        <v>456</v>
      </c>
    </row>
    <row r="118" spans="1:25" ht="42.75">
      <c r="A118" s="372" t="s">
        <v>380</v>
      </c>
      <c r="B118" s="372" t="s">
        <v>6</v>
      </c>
      <c r="C118" s="88" t="s">
        <v>411</v>
      </c>
      <c r="D118" s="84">
        <v>39757</v>
      </c>
      <c r="E118" s="32" t="s">
        <v>413</v>
      </c>
      <c r="F118" s="32" t="s">
        <v>414</v>
      </c>
      <c r="G118" s="94" t="s">
        <v>415</v>
      </c>
      <c r="H118" s="129" t="s">
        <v>98</v>
      </c>
      <c r="I118" s="78" t="s">
        <v>6</v>
      </c>
      <c r="J118" s="85">
        <v>39759</v>
      </c>
      <c r="K118" s="430">
        <v>0</v>
      </c>
      <c r="L118" s="431">
        <v>0</v>
      </c>
      <c r="M118" s="326">
        <f>K118</f>
        <v>0</v>
      </c>
      <c r="N118" s="401">
        <f>L118</f>
        <v>0</v>
      </c>
      <c r="O118" s="354">
        <v>0</v>
      </c>
      <c r="P118" s="354">
        <v>0</v>
      </c>
      <c r="Q118" s="356">
        <f t="shared" si="5"/>
        <v>0</v>
      </c>
      <c r="R118" s="358">
        <f t="shared" si="6"/>
        <v>0</v>
      </c>
      <c r="S118" s="441" t="s">
        <v>449</v>
      </c>
      <c r="T118" s="325">
        <v>0</v>
      </c>
      <c r="U118" s="366">
        <v>0</v>
      </c>
      <c r="V118" s="232">
        <v>39763</v>
      </c>
      <c r="W118" s="77">
        <v>16120</v>
      </c>
      <c r="X118" s="78" t="s">
        <v>41</v>
      </c>
      <c r="Y118" s="87" t="s">
        <v>450</v>
      </c>
    </row>
    <row r="119" spans="1:25" ht="42.75">
      <c r="A119" s="372" t="s">
        <v>380</v>
      </c>
      <c r="B119" s="372" t="s">
        <v>6</v>
      </c>
      <c r="C119" s="37" t="s">
        <v>412</v>
      </c>
      <c r="D119" s="84">
        <v>39758</v>
      </c>
      <c r="E119" s="32" t="s">
        <v>320</v>
      </c>
      <c r="F119" s="32" t="s">
        <v>321</v>
      </c>
      <c r="G119" s="32" t="s">
        <v>68</v>
      </c>
      <c r="H119" s="129" t="s">
        <v>20</v>
      </c>
      <c r="I119" s="93" t="s">
        <v>453</v>
      </c>
      <c r="J119" s="85">
        <v>39756</v>
      </c>
      <c r="K119" s="325">
        <v>19900</v>
      </c>
      <c r="L119" s="341">
        <v>1</v>
      </c>
      <c r="M119" s="325"/>
      <c r="N119" s="354"/>
      <c r="O119" s="354"/>
      <c r="P119" s="354"/>
      <c r="Q119" s="356">
        <f aca="true" t="shared" si="7" ref="Q119:R123">K119+M119+O119</f>
        <v>19900</v>
      </c>
      <c r="R119" s="358">
        <f t="shared" si="7"/>
        <v>1</v>
      </c>
      <c r="S119" s="284" t="s">
        <v>449</v>
      </c>
      <c r="T119" s="325">
        <v>0</v>
      </c>
      <c r="U119" s="366">
        <v>0</v>
      </c>
      <c r="V119" s="232">
        <v>39763</v>
      </c>
      <c r="W119" s="77">
        <v>35020</v>
      </c>
      <c r="X119" s="78" t="s">
        <v>41</v>
      </c>
      <c r="Y119" s="82" t="s">
        <v>451</v>
      </c>
    </row>
    <row r="120" spans="1:25" ht="42.75">
      <c r="A120" s="372" t="s">
        <v>380</v>
      </c>
      <c r="B120" s="372" t="s">
        <v>45</v>
      </c>
      <c r="C120" s="37" t="s">
        <v>457</v>
      </c>
      <c r="D120" s="84">
        <v>39765</v>
      </c>
      <c r="E120" s="32" t="s">
        <v>460</v>
      </c>
      <c r="F120" s="32" t="s">
        <v>5</v>
      </c>
      <c r="G120" s="32" t="s">
        <v>3</v>
      </c>
      <c r="H120" s="129" t="s">
        <v>97</v>
      </c>
      <c r="I120" s="78" t="s">
        <v>6</v>
      </c>
      <c r="J120" s="85">
        <v>39765</v>
      </c>
      <c r="K120" s="430">
        <v>0</v>
      </c>
      <c r="L120" s="431">
        <v>0</v>
      </c>
      <c r="M120" s="325">
        <v>0</v>
      </c>
      <c r="N120" s="354">
        <v>0</v>
      </c>
      <c r="O120" s="354">
        <v>0</v>
      </c>
      <c r="P120" s="354">
        <v>0</v>
      </c>
      <c r="Q120" s="356">
        <f t="shared" si="7"/>
        <v>0</v>
      </c>
      <c r="R120" s="358">
        <f t="shared" si="7"/>
        <v>0</v>
      </c>
      <c r="S120" s="284" t="s">
        <v>455</v>
      </c>
      <c r="T120" s="325">
        <v>0</v>
      </c>
      <c r="U120" s="366">
        <v>0</v>
      </c>
      <c r="V120" s="232">
        <v>39770</v>
      </c>
      <c r="W120" s="77" t="s">
        <v>366</v>
      </c>
      <c r="X120" s="78" t="s">
        <v>41</v>
      </c>
      <c r="Y120" s="82" t="s">
        <v>472</v>
      </c>
    </row>
    <row r="121" spans="1:25" ht="14.25">
      <c r="A121" s="372" t="s">
        <v>381</v>
      </c>
      <c r="B121" s="372" t="s">
        <v>6</v>
      </c>
      <c r="C121" s="3" t="s">
        <v>458</v>
      </c>
      <c r="D121" s="84">
        <v>39766</v>
      </c>
      <c r="E121" s="32" t="s">
        <v>136</v>
      </c>
      <c r="F121" s="32" t="s">
        <v>73</v>
      </c>
      <c r="G121" s="32" t="s">
        <v>59</v>
      </c>
      <c r="H121" s="129" t="s">
        <v>98</v>
      </c>
      <c r="I121" s="78" t="s">
        <v>6</v>
      </c>
      <c r="J121" s="85">
        <v>39766</v>
      </c>
      <c r="K121" s="325"/>
      <c r="L121" s="341"/>
      <c r="M121" s="325"/>
      <c r="N121" s="354"/>
      <c r="O121" s="354"/>
      <c r="P121" s="354"/>
      <c r="Q121" s="356">
        <f t="shared" si="7"/>
        <v>0</v>
      </c>
      <c r="R121" s="358">
        <f t="shared" si="7"/>
        <v>0</v>
      </c>
      <c r="S121" s="283"/>
      <c r="T121" s="325"/>
      <c r="U121" s="366"/>
      <c r="V121" s="232"/>
      <c r="W121" s="77"/>
      <c r="X121" s="78"/>
      <c r="Y121" s="116"/>
    </row>
    <row r="122" spans="1:25" ht="14.25">
      <c r="A122" s="372" t="s">
        <v>381</v>
      </c>
      <c r="B122" s="372" t="s">
        <v>45</v>
      </c>
      <c r="C122" s="3" t="s">
        <v>459</v>
      </c>
      <c r="D122" s="84">
        <v>39769</v>
      </c>
      <c r="E122" s="32" t="s">
        <v>461</v>
      </c>
      <c r="F122" s="32" t="s">
        <v>462</v>
      </c>
      <c r="G122" s="32" t="s">
        <v>248</v>
      </c>
      <c r="H122" s="129" t="s">
        <v>98</v>
      </c>
      <c r="I122" s="78"/>
      <c r="J122" s="85"/>
      <c r="K122" s="325"/>
      <c r="L122" s="341"/>
      <c r="M122" s="325"/>
      <c r="N122" s="354"/>
      <c r="O122" s="354"/>
      <c r="P122" s="354"/>
      <c r="Q122" s="356">
        <f t="shared" si="7"/>
        <v>0</v>
      </c>
      <c r="R122" s="358">
        <f t="shared" si="7"/>
        <v>0</v>
      </c>
      <c r="S122" s="283"/>
      <c r="T122" s="325"/>
      <c r="U122" s="366"/>
      <c r="V122" s="232"/>
      <c r="W122" s="77"/>
      <c r="X122" s="78"/>
      <c r="Y122" s="116"/>
    </row>
    <row r="123" spans="1:25" ht="28.5">
      <c r="A123" s="372" t="s">
        <v>381</v>
      </c>
      <c r="B123" s="372" t="s">
        <v>45</v>
      </c>
      <c r="C123" s="3" t="s">
        <v>463</v>
      </c>
      <c r="D123" s="84">
        <v>39773</v>
      </c>
      <c r="E123" s="94" t="s">
        <v>464</v>
      </c>
      <c r="F123" s="32" t="s">
        <v>8</v>
      </c>
      <c r="G123" s="32" t="s">
        <v>465</v>
      </c>
      <c r="H123" s="45" t="s">
        <v>39</v>
      </c>
      <c r="I123" s="78"/>
      <c r="J123" s="85"/>
      <c r="K123" s="325"/>
      <c r="L123" s="341"/>
      <c r="M123" s="325"/>
      <c r="N123" s="354"/>
      <c r="O123" s="354"/>
      <c r="P123" s="354"/>
      <c r="Q123" s="356">
        <f t="shared" si="7"/>
        <v>0</v>
      </c>
      <c r="R123" s="358">
        <f t="shared" si="7"/>
        <v>0</v>
      </c>
      <c r="S123" s="86"/>
      <c r="T123" s="325"/>
      <c r="U123" s="366"/>
      <c r="V123" s="232"/>
      <c r="W123" s="77"/>
      <c r="X123" s="78"/>
      <c r="Y123" s="116"/>
    </row>
    <row r="124" spans="1:25" ht="14.25">
      <c r="A124" s="372"/>
      <c r="C124" s="3"/>
      <c r="D124" s="84"/>
      <c r="E124" s="32"/>
      <c r="F124" s="32"/>
      <c r="G124" s="32"/>
      <c r="H124" s="129"/>
      <c r="I124" s="78"/>
      <c r="J124" s="85"/>
      <c r="K124" s="325"/>
      <c r="L124" s="341"/>
      <c r="M124" s="325"/>
      <c r="N124" s="354"/>
      <c r="O124" s="354"/>
      <c r="P124" s="354"/>
      <c r="Q124" s="356">
        <f t="shared" si="5"/>
        <v>0</v>
      </c>
      <c r="R124" s="358">
        <f t="shared" si="6"/>
        <v>0</v>
      </c>
      <c r="S124" s="283"/>
      <c r="T124" s="325"/>
      <c r="U124" s="366"/>
      <c r="V124" s="232"/>
      <c r="W124" s="77"/>
      <c r="X124" s="78"/>
      <c r="Y124" s="116"/>
    </row>
    <row r="125" spans="1:25" ht="15" thickBot="1">
      <c r="A125" s="372"/>
      <c r="C125" s="3"/>
      <c r="D125" s="84"/>
      <c r="E125" s="94"/>
      <c r="F125" s="32"/>
      <c r="G125" s="32"/>
      <c r="H125" s="45"/>
      <c r="I125" s="78"/>
      <c r="J125" s="85"/>
      <c r="K125" s="325"/>
      <c r="L125" s="341"/>
      <c r="M125" s="325"/>
      <c r="N125" s="354"/>
      <c r="O125" s="354"/>
      <c r="P125" s="354"/>
      <c r="Q125" s="356">
        <f t="shared" si="5"/>
        <v>0</v>
      </c>
      <c r="R125" s="358">
        <f t="shared" si="6"/>
        <v>0</v>
      </c>
      <c r="S125" s="86"/>
      <c r="T125" s="325"/>
      <c r="U125" s="366"/>
      <c r="V125" s="232"/>
      <c r="W125" s="77"/>
      <c r="X125" s="78"/>
      <c r="Y125" s="116"/>
    </row>
    <row r="126" spans="1:28" s="26" customFormat="1" ht="15.75" thickBot="1">
      <c r="A126" s="375"/>
      <c r="B126" s="375"/>
      <c r="D126" s="25"/>
      <c r="H126" s="68"/>
      <c r="I126" s="226"/>
      <c r="J126" s="27"/>
      <c r="K126" s="329">
        <f aca="true" t="shared" si="8" ref="K126:R126">SUM(K29:K125)</f>
        <v>1286716</v>
      </c>
      <c r="L126" s="345">
        <f t="shared" si="8"/>
        <v>51.77756756756756</v>
      </c>
      <c r="M126" s="71">
        <f t="shared" si="8"/>
        <v>-220894</v>
      </c>
      <c r="N126" s="123">
        <f t="shared" si="8"/>
        <v>-10.000000000000002</v>
      </c>
      <c r="O126" s="71">
        <f>SUM(O29:O125)</f>
        <v>-187400</v>
      </c>
      <c r="P126" s="123">
        <f t="shared" si="8"/>
        <v>-6</v>
      </c>
      <c r="Q126" s="71">
        <f>SUM(Q29:Q125)</f>
        <v>878422</v>
      </c>
      <c r="R126" s="123">
        <f t="shared" si="8"/>
        <v>35.77756756756757</v>
      </c>
      <c r="S126" s="67"/>
      <c r="T126" s="28">
        <f>SUM(T29:T125)</f>
        <v>121600</v>
      </c>
      <c r="U126" s="222">
        <f>SUM(U29:U125)</f>
        <v>5.640000000000001</v>
      </c>
      <c r="V126" s="237"/>
      <c r="W126" s="66"/>
      <c r="X126" s="33"/>
      <c r="Y126" s="59"/>
      <c r="Z126" s="31"/>
      <c r="AA126" s="29"/>
      <c r="AB126" s="29"/>
    </row>
    <row r="127" spans="1:24" ht="14.25">
      <c r="A127" s="372"/>
      <c r="J127" s="24"/>
      <c r="K127" s="305"/>
      <c r="L127" s="304"/>
      <c r="M127" s="72"/>
      <c r="N127" s="72"/>
      <c r="O127" s="72"/>
      <c r="P127" s="72"/>
      <c r="Q127" s="305">
        <f>M16-Q126</f>
        <v>0</v>
      </c>
      <c r="R127" s="304">
        <f>N16-R126</f>
        <v>0</v>
      </c>
      <c r="T127" s="21"/>
      <c r="W127" s="21"/>
      <c r="X127" s="21"/>
    </row>
    <row r="128" spans="1:20" ht="15" customHeight="1">
      <c r="A128" s="372"/>
      <c r="J128" s="20"/>
      <c r="K128" s="301"/>
      <c r="L128" s="308"/>
      <c r="R128" s="303"/>
      <c r="T128" s="21"/>
    </row>
    <row r="129" spans="1:91" s="99" customFormat="1" ht="15">
      <c r="A129" s="376"/>
      <c r="B129" s="376"/>
      <c r="E129" s="10"/>
      <c r="F129" s="10"/>
      <c r="G129" s="10" t="s">
        <v>271</v>
      </c>
      <c r="H129" s="10" t="s">
        <v>98</v>
      </c>
      <c r="I129" s="14"/>
      <c r="J129" s="10"/>
      <c r="K129" s="330">
        <f aca="true" t="shared" si="9" ref="K129:R134">SUMIF($H$29:$H$125,$H129,K$29:K$125)</f>
        <v>447577</v>
      </c>
      <c r="L129" s="346">
        <f t="shared" si="9"/>
        <v>20.41756756756757</v>
      </c>
      <c r="M129" s="103">
        <f t="shared" si="9"/>
        <v>-62000</v>
      </c>
      <c r="N129" s="288">
        <f t="shared" si="9"/>
        <v>-3.92</v>
      </c>
      <c r="O129" s="103">
        <f t="shared" si="9"/>
        <v>-74600</v>
      </c>
      <c r="P129" s="288">
        <f t="shared" si="9"/>
        <v>-2</v>
      </c>
      <c r="Q129" s="289">
        <f t="shared" si="9"/>
        <v>310977</v>
      </c>
      <c r="R129" s="290">
        <f t="shared" si="9"/>
        <v>14.497567567567568</v>
      </c>
      <c r="S129" s="292"/>
      <c r="T129" s="286">
        <f aca="true" t="shared" si="10" ref="T129:U134">SUMIF($H$29:$H$125,$H129,T$29:T$125)</f>
        <v>33500</v>
      </c>
      <c r="U129" s="291">
        <f t="shared" si="10"/>
        <v>1.6099999999999999</v>
      </c>
      <c r="V129" s="14"/>
      <c r="W129" s="21"/>
      <c r="X129" s="21"/>
      <c r="Y129" s="10"/>
      <c r="Z129" s="9"/>
      <c r="AA129" s="9"/>
      <c r="AB129" s="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</row>
    <row r="130" spans="1:91" s="99" customFormat="1" ht="15">
      <c r="A130" s="376"/>
      <c r="B130" s="376"/>
      <c r="E130" s="10"/>
      <c r="F130" s="10"/>
      <c r="G130" s="10" t="s">
        <v>274</v>
      </c>
      <c r="H130" s="10" t="s">
        <v>97</v>
      </c>
      <c r="I130" s="14"/>
      <c r="J130" s="10"/>
      <c r="K130" s="330">
        <f t="shared" si="9"/>
        <v>136811</v>
      </c>
      <c r="L130" s="346">
        <f t="shared" si="9"/>
        <v>5</v>
      </c>
      <c r="M130" s="103">
        <f t="shared" si="9"/>
        <v>-69344</v>
      </c>
      <c r="N130" s="288">
        <f t="shared" si="9"/>
        <v>-3</v>
      </c>
      <c r="O130" s="103">
        <f t="shared" si="9"/>
        <v>0</v>
      </c>
      <c r="P130" s="288">
        <f t="shared" si="9"/>
        <v>0</v>
      </c>
      <c r="Q130" s="289">
        <f t="shared" si="9"/>
        <v>67467</v>
      </c>
      <c r="R130" s="290">
        <f t="shared" si="9"/>
        <v>2</v>
      </c>
      <c r="S130" s="292"/>
      <c r="T130" s="286">
        <f t="shared" si="10"/>
        <v>25600</v>
      </c>
      <c r="U130" s="291">
        <f t="shared" si="10"/>
        <v>1.23</v>
      </c>
      <c r="V130" s="112"/>
      <c r="W130" s="21"/>
      <c r="X130" s="21"/>
      <c r="Y130" s="10"/>
      <c r="Z130" s="9"/>
      <c r="AA130" s="9"/>
      <c r="AB130" s="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</row>
    <row r="131" spans="1:91" s="99" customFormat="1" ht="15">
      <c r="A131" s="376"/>
      <c r="B131" s="376"/>
      <c r="E131" s="10"/>
      <c r="F131" s="10"/>
      <c r="G131" s="10" t="s">
        <v>351</v>
      </c>
      <c r="H131" s="10" t="s">
        <v>99</v>
      </c>
      <c r="I131" s="14"/>
      <c r="J131" s="10"/>
      <c r="K131" s="330">
        <f t="shared" si="9"/>
        <v>364953</v>
      </c>
      <c r="L131" s="346">
        <f t="shared" si="9"/>
        <v>13.26</v>
      </c>
      <c r="M131" s="103">
        <f t="shared" si="9"/>
        <v>-89550</v>
      </c>
      <c r="N131" s="288">
        <f t="shared" si="9"/>
        <v>-3.08</v>
      </c>
      <c r="O131" s="103">
        <f t="shared" si="9"/>
        <v>0</v>
      </c>
      <c r="P131" s="288">
        <f t="shared" si="9"/>
        <v>0</v>
      </c>
      <c r="Q131" s="289">
        <f t="shared" si="9"/>
        <v>275403</v>
      </c>
      <c r="R131" s="290">
        <f t="shared" si="9"/>
        <v>10.18</v>
      </c>
      <c r="S131" s="292"/>
      <c r="T131" s="286">
        <f t="shared" si="10"/>
        <v>0</v>
      </c>
      <c r="U131" s="291">
        <f t="shared" si="10"/>
        <v>0</v>
      </c>
      <c r="V131" s="112"/>
      <c r="W131" s="21"/>
      <c r="X131" s="21"/>
      <c r="Y131" s="10"/>
      <c r="Z131" s="9"/>
      <c r="AA131" s="9"/>
      <c r="AB131" s="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</row>
    <row r="132" spans="1:21" ht="14.25">
      <c r="A132" s="372"/>
      <c r="G132" s="10" t="s">
        <v>358</v>
      </c>
      <c r="H132" s="10" t="s">
        <v>39</v>
      </c>
      <c r="K132" s="330">
        <f t="shared" si="9"/>
        <v>31175</v>
      </c>
      <c r="L132" s="346">
        <f t="shared" si="9"/>
        <v>1.8</v>
      </c>
      <c r="M132" s="103">
        <f t="shared" si="9"/>
        <v>0</v>
      </c>
      <c r="N132" s="288">
        <f t="shared" si="9"/>
        <v>0</v>
      </c>
      <c r="O132" s="103">
        <f t="shared" si="9"/>
        <v>0</v>
      </c>
      <c r="P132" s="288">
        <f t="shared" si="9"/>
        <v>0</v>
      </c>
      <c r="Q132" s="289">
        <f t="shared" si="9"/>
        <v>31175</v>
      </c>
      <c r="R132" s="290">
        <f t="shared" si="9"/>
        <v>1.8</v>
      </c>
      <c r="S132" s="292"/>
      <c r="T132" s="286">
        <f t="shared" si="10"/>
        <v>13900</v>
      </c>
      <c r="U132" s="291">
        <f t="shared" si="10"/>
        <v>1.3</v>
      </c>
    </row>
    <row r="133" spans="1:21" ht="14.25">
      <c r="A133" s="372"/>
      <c r="G133" s="10" t="s">
        <v>359</v>
      </c>
      <c r="H133" s="10" t="s">
        <v>20</v>
      </c>
      <c r="K133" s="330">
        <f t="shared" si="9"/>
        <v>306200</v>
      </c>
      <c r="L133" s="346">
        <f t="shared" si="9"/>
        <v>11.3</v>
      </c>
      <c r="M133" s="103">
        <f t="shared" si="9"/>
        <v>0</v>
      </c>
      <c r="N133" s="288">
        <f t="shared" si="9"/>
        <v>0</v>
      </c>
      <c r="O133" s="103">
        <f t="shared" si="9"/>
        <v>-112800</v>
      </c>
      <c r="P133" s="288">
        <f t="shared" si="9"/>
        <v>-4</v>
      </c>
      <c r="Q133" s="289">
        <f t="shared" si="9"/>
        <v>193400</v>
      </c>
      <c r="R133" s="290">
        <f t="shared" si="9"/>
        <v>7.3</v>
      </c>
      <c r="S133" s="292"/>
      <c r="T133" s="286">
        <f t="shared" si="10"/>
        <v>48600</v>
      </c>
      <c r="U133" s="291">
        <f t="shared" si="10"/>
        <v>1.5</v>
      </c>
    </row>
    <row r="134" spans="1:21" ht="14.25">
      <c r="A134" s="372"/>
      <c r="G134" s="10" t="s">
        <v>233</v>
      </c>
      <c r="H134" s="10" t="s">
        <v>360</v>
      </c>
      <c r="K134" s="330">
        <f t="shared" si="9"/>
        <v>0</v>
      </c>
      <c r="L134" s="346">
        <f t="shared" si="9"/>
        <v>0</v>
      </c>
      <c r="M134" s="103">
        <f t="shared" si="9"/>
        <v>0</v>
      </c>
      <c r="N134" s="288">
        <f t="shared" si="9"/>
        <v>0</v>
      </c>
      <c r="O134" s="103">
        <f t="shared" si="9"/>
        <v>0</v>
      </c>
      <c r="P134" s="288">
        <f t="shared" si="9"/>
        <v>0</v>
      </c>
      <c r="Q134" s="289">
        <f t="shared" si="9"/>
        <v>0</v>
      </c>
      <c r="R134" s="290">
        <f t="shared" si="9"/>
        <v>0</v>
      </c>
      <c r="S134" s="292"/>
      <c r="T134" s="286">
        <f t="shared" si="10"/>
        <v>0</v>
      </c>
      <c r="U134" s="291">
        <f t="shared" si="10"/>
        <v>0</v>
      </c>
    </row>
    <row r="135" spans="1:28" s="255" customFormat="1" ht="15.75" thickBot="1">
      <c r="A135" s="373"/>
      <c r="B135" s="373"/>
      <c r="G135" s="255" t="s">
        <v>276</v>
      </c>
      <c r="I135" s="8"/>
      <c r="K135" s="331">
        <f>SUM(K129:K134)</f>
        <v>1286716</v>
      </c>
      <c r="L135" s="347">
        <f aca="true" t="shared" si="11" ref="L135:U135">SUM(L129:L134)</f>
        <v>51.77756756756757</v>
      </c>
      <c r="M135" s="298">
        <f t="shared" si="11"/>
        <v>-220894</v>
      </c>
      <c r="N135" s="299">
        <f t="shared" si="11"/>
        <v>-10</v>
      </c>
      <c r="O135" s="298">
        <f t="shared" si="11"/>
        <v>-187400</v>
      </c>
      <c r="P135" s="299">
        <f t="shared" si="11"/>
        <v>-6</v>
      </c>
      <c r="Q135" s="298">
        <f t="shared" si="11"/>
        <v>878422</v>
      </c>
      <c r="R135" s="299">
        <f t="shared" si="11"/>
        <v>35.777567567567566</v>
      </c>
      <c r="S135" s="112"/>
      <c r="T135" s="297">
        <f t="shared" si="11"/>
        <v>121600</v>
      </c>
      <c r="U135" s="300">
        <f t="shared" si="11"/>
        <v>5.64</v>
      </c>
      <c r="V135" s="8"/>
      <c r="W135" s="8"/>
      <c r="X135" s="8"/>
      <c r="Z135" s="260"/>
      <c r="AA135" s="260"/>
      <c r="AB135" s="260"/>
    </row>
    <row r="136" spans="1:21" ht="14.25">
      <c r="A136" s="372"/>
      <c r="K136" s="301">
        <f>K126-K135</f>
        <v>0</v>
      </c>
      <c r="L136" s="308">
        <f aca="true" t="shared" si="12" ref="L136:U136">L126-L135</f>
        <v>0</v>
      </c>
      <c r="M136" s="301">
        <f t="shared" si="12"/>
        <v>0</v>
      </c>
      <c r="N136" s="301">
        <f t="shared" si="12"/>
        <v>0</v>
      </c>
      <c r="O136" s="301">
        <f t="shared" si="12"/>
        <v>0</v>
      </c>
      <c r="P136" s="301">
        <f t="shared" si="12"/>
        <v>0</v>
      </c>
      <c r="Q136" s="301">
        <f t="shared" si="12"/>
        <v>0</v>
      </c>
      <c r="R136" s="301">
        <f t="shared" si="12"/>
        <v>0</v>
      </c>
      <c r="S136" s="301"/>
      <c r="T136" s="301">
        <f t="shared" si="12"/>
        <v>0</v>
      </c>
      <c r="U136" s="301">
        <f t="shared" si="12"/>
        <v>0</v>
      </c>
    </row>
    <row r="137" spans="1:21" ht="14.25">
      <c r="A137" s="372"/>
      <c r="K137" s="301"/>
      <c r="L137" s="308"/>
      <c r="M137" s="301"/>
      <c r="N137" s="301"/>
      <c r="O137" s="301"/>
      <c r="P137" s="301"/>
      <c r="Q137" s="301"/>
      <c r="R137" s="301"/>
      <c r="S137" s="301"/>
      <c r="T137" s="301"/>
      <c r="U137" s="301"/>
    </row>
    <row r="138" spans="1:12" ht="14.25">
      <c r="A138" s="372"/>
      <c r="K138" s="301"/>
      <c r="L138" s="308"/>
    </row>
    <row r="139" spans="1:21" ht="15" hidden="1">
      <c r="A139" s="372"/>
      <c r="J139" s="6" t="s">
        <v>361</v>
      </c>
      <c r="K139" s="332">
        <v>1231442</v>
      </c>
      <c r="L139" s="348">
        <v>39.37</v>
      </c>
      <c r="M139" s="294">
        <v>-352944</v>
      </c>
      <c r="N139" s="295">
        <v>-6.06</v>
      </c>
      <c r="O139" s="294">
        <v>-187400</v>
      </c>
      <c r="P139" s="295">
        <v>-6</v>
      </c>
      <c r="Q139" s="294">
        <v>691098</v>
      </c>
      <c r="R139" s="295">
        <v>27.31</v>
      </c>
      <c r="S139" s="112"/>
      <c r="T139" s="293">
        <v>121600</v>
      </c>
      <c r="U139" s="296">
        <v>5.64</v>
      </c>
    </row>
    <row r="140" spans="1:21" ht="14.25" hidden="1">
      <c r="A140" s="372"/>
      <c r="I140" s="400" t="s">
        <v>362</v>
      </c>
      <c r="J140" s="14" t="s">
        <v>382</v>
      </c>
      <c r="K140" s="333">
        <v>0</v>
      </c>
      <c r="L140" s="349">
        <v>0</v>
      </c>
      <c r="M140" s="333">
        <v>0</v>
      </c>
      <c r="N140" s="349">
        <v>-2</v>
      </c>
      <c r="O140" s="333">
        <v>0</v>
      </c>
      <c r="P140" s="349">
        <v>0</v>
      </c>
      <c r="Q140" s="333">
        <f>K140+M140+O140</f>
        <v>0</v>
      </c>
      <c r="R140" s="349">
        <f>L140+N140+P140</f>
        <v>-2</v>
      </c>
      <c r="S140" s="112"/>
      <c r="T140" s="333">
        <f>SUMIF($C$29:$C$125,$J140,T$29:T$125)</f>
        <v>0</v>
      </c>
      <c r="U140" s="349">
        <f>SUMIF($C$29:$C$125,$J140,U$29:U$125)</f>
        <v>0</v>
      </c>
    </row>
    <row r="141" spans="1:21" ht="14.25" hidden="1">
      <c r="A141" s="372"/>
      <c r="J141" s="14" t="s">
        <v>390</v>
      </c>
      <c r="K141" s="333">
        <f>SUMIF($C$29:$C$125,$J141,K$29:K$125)</f>
        <v>28300</v>
      </c>
      <c r="L141" s="349">
        <v>0</v>
      </c>
      <c r="M141" s="333">
        <f>SUMIF($C$29:$C$125,$J141,M$29:M$125)</f>
        <v>0</v>
      </c>
      <c r="N141" s="349">
        <f>SUMIF($C$29:$C$125,$J141,N$29:N$125)</f>
        <v>0</v>
      </c>
      <c r="O141" s="333">
        <f>SUMIF($C$29:$C$125,$J141,O$29:O$125)</f>
        <v>0</v>
      </c>
      <c r="P141" s="349">
        <f>SUMIF($C$29:$C$125,$J141,P$29:P$125)</f>
        <v>0</v>
      </c>
      <c r="Q141" s="333">
        <f aca="true" t="shared" si="13" ref="Q141:Q146">K141+M141+O141</f>
        <v>28300</v>
      </c>
      <c r="R141" s="349">
        <f aca="true" t="shared" si="14" ref="R141:R146">L141+N141+P141</f>
        <v>0</v>
      </c>
      <c r="S141" s="112"/>
      <c r="T141" s="333">
        <v>0</v>
      </c>
      <c r="U141" s="349">
        <f aca="true" t="shared" si="15" ref="U141:U156">SUMIF($C$29:$C$125,$J141,U$29:U$125)</f>
        <v>0</v>
      </c>
    </row>
    <row r="142" spans="1:21" ht="14.25" hidden="1">
      <c r="A142" s="372"/>
      <c r="J142" s="14" t="s">
        <v>398</v>
      </c>
      <c r="K142" s="333">
        <v>0</v>
      </c>
      <c r="L142" s="349">
        <f>SUMIF($C$29:$C$125,$J142,L$29:L$125)-0.81</f>
        <v>0.81</v>
      </c>
      <c r="M142" s="333">
        <v>0</v>
      </c>
      <c r="N142" s="349">
        <f>SUMIF($C$29:$C$125,$J142,N$29:N$125)+0.81</f>
        <v>-0.81</v>
      </c>
      <c r="O142" s="333">
        <f aca="true" t="shared" si="16" ref="O142:P156">SUMIF($C$29:$C$125,$J142,O$29:O$125)</f>
        <v>0</v>
      </c>
      <c r="P142" s="349">
        <f t="shared" si="16"/>
        <v>0</v>
      </c>
      <c r="Q142" s="333">
        <f t="shared" si="13"/>
        <v>0</v>
      </c>
      <c r="R142" s="349">
        <f t="shared" si="14"/>
        <v>0</v>
      </c>
      <c r="S142" s="112"/>
      <c r="T142" s="333">
        <f aca="true" t="shared" si="17" ref="T142:T156">SUMIF($C$29:$C$125,$J142,T$29:T$125)</f>
        <v>0</v>
      </c>
      <c r="U142" s="349">
        <f t="shared" si="15"/>
        <v>0</v>
      </c>
    </row>
    <row r="143" spans="1:21" ht="14.25" hidden="1">
      <c r="A143" s="372"/>
      <c r="J143" s="14" t="s">
        <v>404</v>
      </c>
      <c r="K143" s="333">
        <v>-148100</v>
      </c>
      <c r="L143" s="349">
        <f>SUMIF($C$29:$C$125,$J143,L$29:L$125)</f>
        <v>0</v>
      </c>
      <c r="M143" s="333">
        <v>139200</v>
      </c>
      <c r="N143" s="349">
        <f aca="true" t="shared" si="18" ref="N143:N156">SUMIF($C$29:$C$125,$J143,N$29:N$125)</f>
        <v>0</v>
      </c>
      <c r="O143" s="333">
        <f t="shared" si="16"/>
        <v>0</v>
      </c>
      <c r="P143" s="349">
        <f t="shared" si="16"/>
        <v>0</v>
      </c>
      <c r="Q143" s="333">
        <f t="shared" si="13"/>
        <v>-8900</v>
      </c>
      <c r="R143" s="349">
        <f t="shared" si="14"/>
        <v>0</v>
      </c>
      <c r="S143" s="112"/>
      <c r="T143" s="333">
        <f t="shared" si="17"/>
        <v>0</v>
      </c>
      <c r="U143" s="349">
        <f t="shared" si="15"/>
        <v>0</v>
      </c>
    </row>
    <row r="144" spans="1:21" ht="14.25" hidden="1">
      <c r="A144" s="372"/>
      <c r="J144" s="14" t="s">
        <v>104</v>
      </c>
      <c r="K144" s="333">
        <f>SUMIF($C$29:$C$125,$J144,K$29:K$125)-38242</f>
        <v>-19126</v>
      </c>
      <c r="L144" s="349">
        <f>SUMIF($C$29:$C$125,$J144,L$29:L$125)-1</f>
        <v>-0.050000000000000044</v>
      </c>
      <c r="M144" s="333">
        <f aca="true" t="shared" si="19" ref="M144:M156">SUMIF($C$29:$C$125,$J144,M$29:M$125)</f>
        <v>0</v>
      </c>
      <c r="N144" s="349">
        <f t="shared" si="18"/>
        <v>0</v>
      </c>
      <c r="O144" s="333">
        <f t="shared" si="16"/>
        <v>0</v>
      </c>
      <c r="P144" s="349">
        <f t="shared" si="16"/>
        <v>0</v>
      </c>
      <c r="Q144" s="333">
        <f t="shared" si="13"/>
        <v>-19126</v>
      </c>
      <c r="R144" s="349">
        <f t="shared" si="14"/>
        <v>-0.050000000000000044</v>
      </c>
      <c r="S144" s="112"/>
      <c r="T144" s="333">
        <f t="shared" si="17"/>
        <v>0</v>
      </c>
      <c r="U144" s="349">
        <f t="shared" si="15"/>
        <v>0</v>
      </c>
    </row>
    <row r="145" spans="1:21" ht="14.25" hidden="1">
      <c r="A145" s="372"/>
      <c r="J145" s="14" t="s">
        <v>113</v>
      </c>
      <c r="K145" s="333">
        <v>0</v>
      </c>
      <c r="L145" s="349">
        <f aca="true" t="shared" si="20" ref="L145:L156">SUMIF($C$29:$C$125,$J145,L$29:L$125)</f>
        <v>1</v>
      </c>
      <c r="M145" s="333">
        <f t="shared" si="19"/>
        <v>0</v>
      </c>
      <c r="N145" s="349">
        <f t="shared" si="18"/>
        <v>0</v>
      </c>
      <c r="O145" s="333">
        <f t="shared" si="16"/>
        <v>0</v>
      </c>
      <c r="P145" s="349">
        <f t="shared" si="16"/>
        <v>0</v>
      </c>
      <c r="Q145" s="333">
        <f t="shared" si="13"/>
        <v>0</v>
      </c>
      <c r="R145" s="349">
        <f t="shared" si="14"/>
        <v>1</v>
      </c>
      <c r="S145" s="112"/>
      <c r="T145" s="333">
        <f t="shared" si="17"/>
        <v>0</v>
      </c>
      <c r="U145" s="349">
        <f t="shared" si="15"/>
        <v>0</v>
      </c>
    </row>
    <row r="146" spans="1:21" ht="14.25" hidden="1">
      <c r="A146" s="372"/>
      <c r="J146" s="14" t="s">
        <v>122</v>
      </c>
      <c r="K146" s="333">
        <f>SUMIF($C$29:$C$125,$J146,K$29:K$125)</f>
        <v>23000</v>
      </c>
      <c r="L146" s="349">
        <f t="shared" si="20"/>
        <v>0.86</v>
      </c>
      <c r="M146" s="333">
        <f t="shared" si="19"/>
        <v>0</v>
      </c>
      <c r="N146" s="349">
        <f t="shared" si="18"/>
        <v>0</v>
      </c>
      <c r="O146" s="333">
        <f t="shared" si="16"/>
        <v>0</v>
      </c>
      <c r="P146" s="349">
        <f t="shared" si="16"/>
        <v>0</v>
      </c>
      <c r="Q146" s="333">
        <f t="shared" si="13"/>
        <v>23000</v>
      </c>
      <c r="R146" s="349">
        <f t="shared" si="14"/>
        <v>0.86</v>
      </c>
      <c r="S146" s="112"/>
      <c r="T146" s="333">
        <f t="shared" si="17"/>
        <v>0</v>
      </c>
      <c r="U146" s="349">
        <f t="shared" si="15"/>
        <v>0</v>
      </c>
    </row>
    <row r="147" spans="1:21" ht="14.25" hidden="1">
      <c r="A147" s="372"/>
      <c r="J147" s="14" t="s">
        <v>123</v>
      </c>
      <c r="K147" s="333">
        <f>SUMIF($C$29:$C$125,$J147,K$29:K$125)</f>
        <v>20500</v>
      </c>
      <c r="L147" s="349">
        <f t="shared" si="20"/>
        <v>1</v>
      </c>
      <c r="M147" s="333">
        <f t="shared" si="19"/>
        <v>0</v>
      </c>
      <c r="N147" s="349">
        <f t="shared" si="18"/>
        <v>0</v>
      </c>
      <c r="O147" s="333">
        <f t="shared" si="16"/>
        <v>0</v>
      </c>
      <c r="P147" s="349">
        <f t="shared" si="16"/>
        <v>0</v>
      </c>
      <c r="Q147" s="333">
        <f>K147+M147+O147</f>
        <v>20500</v>
      </c>
      <c r="R147" s="349">
        <f>L147+N147+P147</f>
        <v>1</v>
      </c>
      <c r="S147" s="112"/>
      <c r="T147" s="333">
        <f t="shared" si="17"/>
        <v>0</v>
      </c>
      <c r="U147" s="349">
        <f t="shared" si="15"/>
        <v>0</v>
      </c>
    </row>
    <row r="148" spans="1:21" ht="14.25" hidden="1">
      <c r="A148" s="372"/>
      <c r="J148" s="14" t="s">
        <v>124</v>
      </c>
      <c r="K148" s="333">
        <f>SUMIF($C$29:$C$125,$J148,K$29:K$125)</f>
        <v>0</v>
      </c>
      <c r="L148" s="349">
        <f>SUMIF($C$29:$C$125,$J148,L$29:L$125)-1</f>
        <v>-1</v>
      </c>
      <c r="M148" s="333">
        <f t="shared" si="19"/>
        <v>0</v>
      </c>
      <c r="N148" s="349">
        <f t="shared" si="18"/>
        <v>0</v>
      </c>
      <c r="O148" s="333">
        <f t="shared" si="16"/>
        <v>0</v>
      </c>
      <c r="P148" s="349">
        <f t="shared" si="16"/>
        <v>0</v>
      </c>
      <c r="Q148" s="333">
        <f aca="true" t="shared" si="21" ref="Q148:R156">K148+M148+O148</f>
        <v>0</v>
      </c>
      <c r="R148" s="349">
        <f t="shared" si="21"/>
        <v>-1</v>
      </c>
      <c r="S148" s="112"/>
      <c r="T148" s="333">
        <f t="shared" si="17"/>
        <v>0</v>
      </c>
      <c r="U148" s="349">
        <f t="shared" si="15"/>
        <v>0</v>
      </c>
    </row>
    <row r="149" spans="1:21" ht="14.25" hidden="1">
      <c r="A149" s="372"/>
      <c r="J149" s="14" t="s">
        <v>125</v>
      </c>
      <c r="K149" s="333">
        <f>SUMIF($C$29:$C$125,$J149,K$29:K$125)</f>
        <v>0</v>
      </c>
      <c r="L149" s="349">
        <f t="shared" si="20"/>
        <v>1</v>
      </c>
      <c r="M149" s="333">
        <f t="shared" si="19"/>
        <v>0</v>
      </c>
      <c r="N149" s="349">
        <f t="shared" si="18"/>
        <v>0</v>
      </c>
      <c r="O149" s="333">
        <f t="shared" si="16"/>
        <v>0</v>
      </c>
      <c r="P149" s="349">
        <f t="shared" si="16"/>
        <v>0</v>
      </c>
      <c r="Q149" s="333">
        <f t="shared" si="21"/>
        <v>0</v>
      </c>
      <c r="R149" s="349">
        <f t="shared" si="21"/>
        <v>1</v>
      </c>
      <c r="S149" s="112"/>
      <c r="T149" s="333">
        <f t="shared" si="17"/>
        <v>0</v>
      </c>
      <c r="U149" s="349">
        <f t="shared" si="15"/>
        <v>0</v>
      </c>
    </row>
    <row r="150" spans="1:21" ht="14.25" hidden="1">
      <c r="A150" s="372"/>
      <c r="J150" s="14" t="s">
        <v>129</v>
      </c>
      <c r="K150" s="333">
        <v>0</v>
      </c>
      <c r="L150" s="349">
        <f t="shared" si="20"/>
        <v>0.46</v>
      </c>
      <c r="M150" s="333">
        <f t="shared" si="19"/>
        <v>0</v>
      </c>
      <c r="N150" s="349">
        <f t="shared" si="18"/>
        <v>0</v>
      </c>
      <c r="O150" s="333">
        <f t="shared" si="16"/>
        <v>0</v>
      </c>
      <c r="P150" s="349">
        <f t="shared" si="16"/>
        <v>0</v>
      </c>
      <c r="Q150" s="333">
        <f>K150+M150+O150</f>
        <v>0</v>
      </c>
      <c r="R150" s="349">
        <f>L150+N150+P150</f>
        <v>0.46</v>
      </c>
      <c r="S150" s="112"/>
      <c r="T150" s="333">
        <f t="shared" si="17"/>
        <v>0</v>
      </c>
      <c r="U150" s="349">
        <f t="shared" si="15"/>
        <v>0</v>
      </c>
    </row>
    <row r="151" spans="1:21" ht="14.25" hidden="1">
      <c r="A151" s="372"/>
      <c r="J151" s="14" t="s">
        <v>208</v>
      </c>
      <c r="K151" s="333">
        <f aca="true" t="shared" si="22" ref="K151:K156">SUMIF($C$29:$C$125,$J151,K$29:K$125)</f>
        <v>18800</v>
      </c>
      <c r="L151" s="349">
        <f t="shared" si="20"/>
        <v>1</v>
      </c>
      <c r="M151" s="333">
        <f t="shared" si="19"/>
        <v>0</v>
      </c>
      <c r="N151" s="349">
        <f t="shared" si="18"/>
        <v>0</v>
      </c>
      <c r="O151" s="333">
        <f t="shared" si="16"/>
        <v>0</v>
      </c>
      <c r="P151" s="349">
        <f t="shared" si="16"/>
        <v>0</v>
      </c>
      <c r="Q151" s="333">
        <f t="shared" si="21"/>
        <v>18800</v>
      </c>
      <c r="R151" s="349">
        <f t="shared" si="21"/>
        <v>1</v>
      </c>
      <c r="S151" s="112"/>
      <c r="T151" s="333">
        <f t="shared" si="17"/>
        <v>0</v>
      </c>
      <c r="U151" s="349">
        <f t="shared" si="15"/>
        <v>0</v>
      </c>
    </row>
    <row r="152" spans="1:21" ht="14.25" hidden="1">
      <c r="A152" s="372"/>
      <c r="J152" s="14" t="s">
        <v>315</v>
      </c>
      <c r="K152" s="333">
        <f t="shared" si="22"/>
        <v>0</v>
      </c>
      <c r="L152" s="349">
        <f t="shared" si="20"/>
        <v>0.73</v>
      </c>
      <c r="M152" s="333">
        <f t="shared" si="19"/>
        <v>0</v>
      </c>
      <c r="N152" s="349">
        <f t="shared" si="18"/>
        <v>-0.73</v>
      </c>
      <c r="O152" s="333">
        <f t="shared" si="16"/>
        <v>0</v>
      </c>
      <c r="P152" s="349">
        <f t="shared" si="16"/>
        <v>0</v>
      </c>
      <c r="Q152" s="333">
        <f>K152+M152+O152</f>
        <v>0</v>
      </c>
      <c r="R152" s="349">
        <f>L152+N152+P152</f>
        <v>0</v>
      </c>
      <c r="S152" s="112"/>
      <c r="T152" s="333">
        <f t="shared" si="17"/>
        <v>0</v>
      </c>
      <c r="U152" s="349">
        <f t="shared" si="15"/>
        <v>0</v>
      </c>
    </row>
    <row r="153" spans="1:21" ht="14.25" hidden="1">
      <c r="A153" s="372"/>
      <c r="J153" s="14" t="s">
        <v>316</v>
      </c>
      <c r="K153" s="333">
        <f t="shared" si="22"/>
        <v>14300</v>
      </c>
      <c r="L153" s="349">
        <f t="shared" si="20"/>
        <v>0.8</v>
      </c>
      <c r="M153" s="333">
        <f t="shared" si="19"/>
        <v>-7150</v>
      </c>
      <c r="N153" s="349">
        <f t="shared" si="18"/>
        <v>-0.4</v>
      </c>
      <c r="O153" s="333">
        <f t="shared" si="16"/>
        <v>0</v>
      </c>
      <c r="P153" s="349">
        <f t="shared" si="16"/>
        <v>0</v>
      </c>
      <c r="Q153" s="333">
        <f t="shared" si="21"/>
        <v>7150</v>
      </c>
      <c r="R153" s="349">
        <f t="shared" si="21"/>
        <v>0.4</v>
      </c>
      <c r="S153" s="112"/>
      <c r="T153" s="333">
        <f t="shared" si="17"/>
        <v>0</v>
      </c>
      <c r="U153" s="349">
        <f t="shared" si="15"/>
        <v>0</v>
      </c>
    </row>
    <row r="154" spans="1:21" ht="14.25" hidden="1">
      <c r="A154" s="372"/>
      <c r="J154" s="14" t="s">
        <v>319</v>
      </c>
      <c r="K154" s="333">
        <f t="shared" si="22"/>
        <v>29100</v>
      </c>
      <c r="L154" s="349">
        <f t="shared" si="20"/>
        <v>1</v>
      </c>
      <c r="M154" s="333">
        <f t="shared" si="19"/>
        <v>0</v>
      </c>
      <c r="N154" s="349">
        <f t="shared" si="18"/>
        <v>0</v>
      </c>
      <c r="O154" s="333">
        <f t="shared" si="16"/>
        <v>0</v>
      </c>
      <c r="P154" s="349">
        <f t="shared" si="16"/>
        <v>0</v>
      </c>
      <c r="Q154" s="333">
        <f t="shared" si="21"/>
        <v>29100</v>
      </c>
      <c r="R154" s="349">
        <f t="shared" si="21"/>
        <v>1</v>
      </c>
      <c r="S154" s="112"/>
      <c r="T154" s="333">
        <f t="shared" si="17"/>
        <v>0</v>
      </c>
      <c r="U154" s="349">
        <f t="shared" si="15"/>
        <v>0</v>
      </c>
    </row>
    <row r="155" spans="1:21" ht="14.25" hidden="1">
      <c r="A155" s="372"/>
      <c r="J155" s="14" t="s">
        <v>323</v>
      </c>
      <c r="K155" s="333">
        <f t="shared" si="22"/>
        <v>15400</v>
      </c>
      <c r="L155" s="349">
        <f t="shared" si="20"/>
        <v>1</v>
      </c>
      <c r="M155" s="333">
        <f t="shared" si="19"/>
        <v>0</v>
      </c>
      <c r="N155" s="349">
        <f t="shared" si="18"/>
        <v>0</v>
      </c>
      <c r="O155" s="333">
        <f t="shared" si="16"/>
        <v>0</v>
      </c>
      <c r="P155" s="349">
        <f t="shared" si="16"/>
        <v>0</v>
      </c>
      <c r="Q155" s="333">
        <f t="shared" si="21"/>
        <v>15400</v>
      </c>
      <c r="R155" s="349">
        <f t="shared" si="21"/>
        <v>1</v>
      </c>
      <c r="S155" s="112"/>
      <c r="T155" s="333">
        <f t="shared" si="17"/>
        <v>0</v>
      </c>
      <c r="U155" s="349">
        <f t="shared" si="15"/>
        <v>0</v>
      </c>
    </row>
    <row r="156" spans="1:21" ht="14.25" hidden="1">
      <c r="A156" s="372"/>
      <c r="J156" s="14" t="s">
        <v>338</v>
      </c>
      <c r="K156" s="333">
        <f t="shared" si="22"/>
        <v>8100</v>
      </c>
      <c r="L156" s="349">
        <f t="shared" si="20"/>
        <v>0.5</v>
      </c>
      <c r="M156" s="333">
        <f t="shared" si="19"/>
        <v>0</v>
      </c>
      <c r="N156" s="349">
        <f t="shared" si="18"/>
        <v>0</v>
      </c>
      <c r="O156" s="333">
        <f t="shared" si="16"/>
        <v>0</v>
      </c>
      <c r="P156" s="349">
        <f t="shared" si="16"/>
        <v>0</v>
      </c>
      <c r="Q156" s="333">
        <f t="shared" si="21"/>
        <v>8100</v>
      </c>
      <c r="R156" s="349">
        <f t="shared" si="21"/>
        <v>0.5</v>
      </c>
      <c r="S156" s="112"/>
      <c r="T156" s="333">
        <f t="shared" si="17"/>
        <v>0</v>
      </c>
      <c r="U156" s="349">
        <f t="shared" si="15"/>
        <v>0</v>
      </c>
    </row>
    <row r="157" spans="1:21" ht="15.75" thickBot="1">
      <c r="A157" s="372"/>
      <c r="J157" s="255" t="s">
        <v>454</v>
      </c>
      <c r="K157" s="331">
        <f>SUM(K139:K156)</f>
        <v>1221716</v>
      </c>
      <c r="L157" s="347">
        <f aca="true" t="shared" si="23" ref="L157:R157">SUM(L139:L156)</f>
        <v>48.48</v>
      </c>
      <c r="M157" s="298">
        <f t="shared" si="23"/>
        <v>-220894</v>
      </c>
      <c r="N157" s="299">
        <f t="shared" si="23"/>
        <v>-10</v>
      </c>
      <c r="O157" s="298">
        <f t="shared" si="23"/>
        <v>-187400</v>
      </c>
      <c r="P157" s="299">
        <f t="shared" si="23"/>
        <v>-6</v>
      </c>
      <c r="Q157" s="298">
        <f t="shared" si="23"/>
        <v>813422</v>
      </c>
      <c r="R157" s="299">
        <f t="shared" si="23"/>
        <v>32.48</v>
      </c>
      <c r="S157" s="112"/>
      <c r="T157" s="297">
        <f>SUM(T139:T156)</f>
        <v>121600</v>
      </c>
      <c r="U157" s="300">
        <f>SUM(U139:U156)</f>
        <v>5.64</v>
      </c>
    </row>
    <row r="158" spans="1:21" ht="14.25">
      <c r="A158" s="372"/>
      <c r="I158" s="400" t="s">
        <v>362</v>
      </c>
      <c r="J158" s="14" t="s">
        <v>412</v>
      </c>
      <c r="K158" s="333">
        <f>SUMIF($C$29:$C$125,$J158,K$29:K$125)</f>
        <v>19900</v>
      </c>
      <c r="L158" s="349">
        <f aca="true" t="shared" si="24" ref="L158:R161">SUMIF($C$29:$C$125,$J158,L$29:L$125)</f>
        <v>1</v>
      </c>
      <c r="M158" s="333">
        <f t="shared" si="24"/>
        <v>0</v>
      </c>
      <c r="N158" s="349">
        <f t="shared" si="24"/>
        <v>0</v>
      </c>
      <c r="O158" s="333">
        <f t="shared" si="24"/>
        <v>0</v>
      </c>
      <c r="P158" s="349">
        <f t="shared" si="24"/>
        <v>0</v>
      </c>
      <c r="Q158" s="333">
        <f t="shared" si="24"/>
        <v>19900</v>
      </c>
      <c r="R158" s="349">
        <f t="shared" si="24"/>
        <v>1</v>
      </c>
      <c r="S158" s="112"/>
      <c r="T158" s="333">
        <f>SUMIF($C$29:$C$125,$J158,T$29:T$125)</f>
        <v>0</v>
      </c>
      <c r="U158" s="349">
        <f>SUMIF($C$29:$C$125,$J158,U$29:U$125)</f>
        <v>0</v>
      </c>
    </row>
    <row r="159" spans="1:21" ht="14.25">
      <c r="A159" s="372"/>
      <c r="I159" s="400"/>
      <c r="J159" s="14" t="s">
        <v>346</v>
      </c>
      <c r="K159" s="333">
        <f>SUMIF($C$29:$C$125,$J159,K$29:K$125)</f>
        <v>18800</v>
      </c>
      <c r="L159" s="349">
        <f t="shared" si="24"/>
        <v>1</v>
      </c>
      <c r="M159" s="333">
        <f t="shared" si="24"/>
        <v>0</v>
      </c>
      <c r="N159" s="349">
        <f t="shared" si="24"/>
        <v>0</v>
      </c>
      <c r="O159" s="333">
        <f t="shared" si="24"/>
        <v>0</v>
      </c>
      <c r="P159" s="349">
        <f t="shared" si="24"/>
        <v>0</v>
      </c>
      <c r="Q159" s="333">
        <f t="shared" si="24"/>
        <v>18800</v>
      </c>
      <c r="R159" s="349">
        <f t="shared" si="24"/>
        <v>1</v>
      </c>
      <c r="S159" s="112"/>
      <c r="T159" s="333"/>
      <c r="U159" s="349"/>
    </row>
    <row r="160" spans="1:21" ht="14.25">
      <c r="A160" s="372"/>
      <c r="I160" s="400"/>
      <c r="J160" s="14" t="s">
        <v>317</v>
      </c>
      <c r="K160" s="333">
        <f>SUMIF($C$29:$C$125,$J160,K$29:K$125)</f>
        <v>4200</v>
      </c>
      <c r="L160" s="349">
        <f t="shared" si="24"/>
        <v>0.3</v>
      </c>
      <c r="M160" s="333">
        <f t="shared" si="24"/>
        <v>0</v>
      </c>
      <c r="N160" s="349">
        <f t="shared" si="24"/>
        <v>0</v>
      </c>
      <c r="O160" s="333">
        <f t="shared" si="24"/>
        <v>0</v>
      </c>
      <c r="P160" s="349">
        <f t="shared" si="24"/>
        <v>0</v>
      </c>
      <c r="Q160" s="333">
        <f t="shared" si="24"/>
        <v>4200</v>
      </c>
      <c r="R160" s="349">
        <f t="shared" si="24"/>
        <v>0.3</v>
      </c>
      <c r="S160" s="112"/>
      <c r="T160" s="333"/>
      <c r="U160" s="349"/>
    </row>
    <row r="161" spans="1:21" ht="14.25">
      <c r="A161" s="372"/>
      <c r="J161" s="14" t="s">
        <v>349</v>
      </c>
      <c r="K161" s="333">
        <f>SUMIF($C$29:$C$125,$J161,K$29:K$125)</f>
        <v>22100</v>
      </c>
      <c r="L161" s="349">
        <f t="shared" si="24"/>
        <v>1</v>
      </c>
      <c r="M161" s="333">
        <f t="shared" si="24"/>
        <v>0</v>
      </c>
      <c r="N161" s="349">
        <f t="shared" si="24"/>
        <v>0</v>
      </c>
      <c r="O161" s="333">
        <f t="shared" si="24"/>
        <v>0</v>
      </c>
      <c r="P161" s="349">
        <f t="shared" si="24"/>
        <v>0</v>
      </c>
      <c r="Q161" s="333">
        <f t="shared" si="24"/>
        <v>22100</v>
      </c>
      <c r="R161" s="349">
        <f t="shared" si="24"/>
        <v>1</v>
      </c>
      <c r="S161" s="112"/>
      <c r="T161" s="333">
        <f>SUMIF($C$29:$C$125,$J161,T$29:T$125)</f>
        <v>0</v>
      </c>
      <c r="U161" s="349">
        <f>SUMIF($C$29:$C$125,$J161,U$29:U$125)</f>
        <v>0</v>
      </c>
    </row>
    <row r="162" spans="1:21" ht="15.75" thickBot="1">
      <c r="A162" s="372"/>
      <c r="J162" s="8" t="s">
        <v>473</v>
      </c>
      <c r="K162" s="331">
        <f aca="true" t="shared" si="25" ref="K162:R162">SUBTOTAL(9,K157:K161)</f>
        <v>1286716</v>
      </c>
      <c r="L162" s="347">
        <f t="shared" si="25"/>
        <v>51.779999999999994</v>
      </c>
      <c r="M162" s="298">
        <f t="shared" si="25"/>
        <v>-220894</v>
      </c>
      <c r="N162" s="299">
        <f t="shared" si="25"/>
        <v>-10</v>
      </c>
      <c r="O162" s="298">
        <f t="shared" si="25"/>
        <v>-187400</v>
      </c>
      <c r="P162" s="299">
        <f t="shared" si="25"/>
        <v>-6</v>
      </c>
      <c r="Q162" s="298">
        <f t="shared" si="25"/>
        <v>878422</v>
      </c>
      <c r="R162" s="299">
        <f t="shared" si="25"/>
        <v>35.779999999999994</v>
      </c>
      <c r="S162" s="112"/>
      <c r="T162" s="297">
        <f>SUBTOTAL(9,T157:T161)</f>
        <v>121600</v>
      </c>
      <c r="U162" s="300">
        <f>SUBTOTAL(9,U157:U161)</f>
        <v>5.64</v>
      </c>
    </row>
    <row r="163" spans="1:21" ht="14.25">
      <c r="A163" s="372"/>
      <c r="J163" s="14"/>
      <c r="K163" s="333"/>
      <c r="L163" s="349"/>
      <c r="M163" s="333"/>
      <c r="N163" s="349"/>
      <c r="O163" s="333"/>
      <c r="P163" s="349"/>
      <c r="Q163" s="333"/>
      <c r="R163" s="349"/>
      <c r="S163" s="112"/>
      <c r="T163" s="333"/>
      <c r="U163" s="349"/>
    </row>
    <row r="164" spans="1:21" ht="14.25">
      <c r="A164" s="372"/>
      <c r="K164" s="301">
        <f aca="true" t="shared" si="26" ref="K164:R164">K126-K162</f>
        <v>0</v>
      </c>
      <c r="L164" s="308">
        <f t="shared" si="26"/>
        <v>-0.002432432432435405</v>
      </c>
      <c r="M164" s="301">
        <f t="shared" si="26"/>
        <v>0</v>
      </c>
      <c r="N164" s="301">
        <f t="shared" si="26"/>
        <v>0</v>
      </c>
      <c r="O164" s="301">
        <f t="shared" si="26"/>
        <v>0</v>
      </c>
      <c r="P164" s="301">
        <f t="shared" si="26"/>
        <v>0</v>
      </c>
      <c r="Q164" s="301">
        <f t="shared" si="26"/>
        <v>0</v>
      </c>
      <c r="R164" s="308">
        <f t="shared" si="26"/>
        <v>-0.0024324324324211943</v>
      </c>
      <c r="S164" s="306"/>
      <c r="T164" s="301">
        <f>T126-T162</f>
        <v>0</v>
      </c>
      <c r="U164" s="301">
        <f>U126-U162</f>
        <v>0</v>
      </c>
    </row>
    <row r="165" spans="1:21" ht="14.25">
      <c r="A165" s="372"/>
      <c r="K165" s="301"/>
      <c r="L165" s="308"/>
      <c r="M165" s="301"/>
      <c r="N165" s="301"/>
      <c r="O165" s="301"/>
      <c r="P165" s="301"/>
      <c r="Q165" s="301"/>
      <c r="R165" s="308"/>
      <c r="S165" s="306"/>
      <c r="T165" s="301"/>
      <c r="U165" s="301"/>
    </row>
    <row r="166" spans="1:21" ht="14.25">
      <c r="A166" s="372"/>
      <c r="K166" s="301"/>
      <c r="L166" s="308"/>
      <c r="M166" s="301"/>
      <c r="N166" s="301"/>
      <c r="O166" s="301"/>
      <c r="P166" s="301"/>
      <c r="Q166" s="301"/>
      <c r="R166" s="308"/>
      <c r="S166" s="306"/>
      <c r="T166" s="301"/>
      <c r="U166" s="301"/>
    </row>
    <row r="167" spans="1:21" ht="14.25">
      <c r="A167" s="372"/>
      <c r="K167" s="301"/>
      <c r="L167" s="308"/>
      <c r="M167" s="301"/>
      <c r="N167" s="301"/>
      <c r="O167" s="301"/>
      <c r="P167" s="301"/>
      <c r="Q167" s="301"/>
      <c r="R167" s="308"/>
      <c r="S167" s="306"/>
      <c r="T167" s="301"/>
      <c r="U167" s="301"/>
    </row>
    <row r="168" spans="1:21" ht="14.25">
      <c r="A168" s="372"/>
      <c r="K168" s="301"/>
      <c r="L168" s="308"/>
      <c r="M168" s="301"/>
      <c r="N168" s="301"/>
      <c r="O168" s="301"/>
      <c r="P168" s="301"/>
      <c r="Q168" s="301"/>
      <c r="R168" s="308"/>
      <c r="S168" s="306"/>
      <c r="T168" s="301"/>
      <c r="U168" s="301"/>
    </row>
    <row r="169" spans="1:21" ht="14.25">
      <c r="A169" s="372"/>
      <c r="K169" s="301"/>
      <c r="L169" s="308"/>
      <c r="M169" s="301"/>
      <c r="N169" s="301"/>
      <c r="O169" s="301"/>
      <c r="P169" s="301"/>
      <c r="Q169" s="301"/>
      <c r="R169" s="308"/>
      <c r="S169" s="306"/>
      <c r="T169" s="301"/>
      <c r="U169" s="301"/>
    </row>
    <row r="170" spans="1:21" ht="14.25">
      <c r="A170" s="372"/>
      <c r="K170" s="301"/>
      <c r="L170" s="308"/>
      <c r="M170" s="301"/>
      <c r="N170" s="301"/>
      <c r="O170" s="301"/>
      <c r="P170" s="301"/>
      <c r="Q170" s="301"/>
      <c r="R170" s="308"/>
      <c r="S170" s="306"/>
      <c r="T170" s="301"/>
      <c r="U170" s="301"/>
    </row>
    <row r="171" spans="1:21" ht="14.25">
      <c r="A171" s="372"/>
      <c r="K171" s="301"/>
      <c r="L171" s="308"/>
      <c r="M171" s="301"/>
      <c r="N171" s="301"/>
      <c r="O171" s="301"/>
      <c r="P171" s="301"/>
      <c r="Q171" s="301"/>
      <c r="R171" s="308"/>
      <c r="S171" s="306"/>
      <c r="T171" s="301"/>
      <c r="U171" s="301"/>
    </row>
    <row r="172" spans="1:21" ht="14.25">
      <c r="A172" s="372"/>
      <c r="K172" s="301"/>
      <c r="L172" s="308"/>
      <c r="M172" s="301"/>
      <c r="N172" s="301"/>
      <c r="O172" s="301"/>
      <c r="P172" s="301"/>
      <c r="Q172" s="301"/>
      <c r="R172" s="308"/>
      <c r="S172" s="306"/>
      <c r="T172" s="301"/>
      <c r="U172" s="301"/>
    </row>
    <row r="173" spans="1:21" ht="14.25">
      <c r="A173" s="372"/>
      <c r="K173" s="301"/>
      <c r="L173" s="308"/>
      <c r="M173" s="301"/>
      <c r="N173" s="301"/>
      <c r="O173" s="301"/>
      <c r="P173" s="301"/>
      <c r="Q173" s="301"/>
      <c r="R173" s="308"/>
      <c r="S173" s="306"/>
      <c r="T173" s="301"/>
      <c r="U173" s="301"/>
    </row>
    <row r="174" spans="1:20" ht="14.25">
      <c r="A174" s="372"/>
      <c r="S174" s="14" t="s">
        <v>367</v>
      </c>
      <c r="T174" s="301">
        <v>-293400</v>
      </c>
    </row>
    <row r="175" spans="1:20" ht="14.25">
      <c r="A175" s="372"/>
      <c r="S175" s="14" t="s">
        <v>452</v>
      </c>
      <c r="T175" s="301">
        <v>415000</v>
      </c>
    </row>
    <row r="176" spans="1:20" ht="14.25">
      <c r="A176" s="372"/>
      <c r="S176" s="14" t="s">
        <v>368</v>
      </c>
      <c r="T176" s="378">
        <f>SUM(T174:T175)</f>
        <v>121600</v>
      </c>
    </row>
    <row r="177" spans="1:20" ht="14.25">
      <c r="A177" s="372"/>
      <c r="S177" s="14" t="s">
        <v>369</v>
      </c>
      <c r="T177" s="301">
        <f>T126</f>
        <v>121600</v>
      </c>
    </row>
    <row r="178" spans="1:20" ht="14.25">
      <c r="A178" s="372"/>
      <c r="S178" s="14" t="s">
        <v>370</v>
      </c>
      <c r="T178" s="301">
        <f>T176-T177</f>
        <v>0</v>
      </c>
    </row>
    <row r="179" ht="14.25">
      <c r="A179" s="372"/>
    </row>
    <row r="180" ht="14.25">
      <c r="A180" s="372"/>
    </row>
    <row r="181" ht="14.25">
      <c r="A181" s="372"/>
    </row>
  </sheetData>
  <sheetProtection/>
  <autoFilter ref="A28:Z127"/>
  <mergeCells count="3">
    <mergeCell ref="W27:X27"/>
    <mergeCell ref="E10:F10"/>
    <mergeCell ref="E7:F7"/>
  </mergeCells>
  <printOptions/>
  <pageMargins left="0.2" right="0.2" top="0.7" bottom="0.984251968503937" header="0.5118110236220472" footer="0.5118110236220472"/>
  <pageSetup horizontalDpi="600" verticalDpi="600" orientation="landscape" paperSize="8" scale="62" r:id="rId4"/>
  <headerFooter alignWithMargins="0">
    <oddHeader>&amp;R&amp;12Acc K/Vacancy Management /Vacancy Management  Target Monitoring Report</oddHeader>
    <oddFooter>&amp;R&amp;Pof&amp;N</oddFooter>
  </headerFooter>
  <rowBreaks count="1" manualBreakCount="1">
    <brk id="26" min="2" max="2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90" zoomScaleNormal="90" zoomScalePageLayoutView="0" workbookViewId="0" topLeftCell="B1">
      <selection activeCell="B2" sqref="B2"/>
    </sheetView>
  </sheetViews>
  <sheetFormatPr defaultColWidth="9.140625" defaultRowHeight="12.75"/>
  <cols>
    <col min="1" max="1" width="9.140625" style="201" hidden="1" customWidth="1"/>
    <col min="2" max="2" width="10.57421875" style="201" customWidth="1"/>
    <col min="3" max="3" width="12.7109375" style="201" bestFit="1" customWidth="1"/>
    <col min="4" max="4" width="20.140625" style="201" customWidth="1"/>
    <col min="5" max="5" width="17.7109375" style="201" customWidth="1"/>
    <col min="6" max="6" width="18.28125" style="201" customWidth="1"/>
    <col min="7" max="7" width="13.57421875" style="201" customWidth="1"/>
    <col min="8" max="8" width="8.421875" style="201" hidden="1" customWidth="1"/>
    <col min="9" max="9" width="5.57421875" style="201" hidden="1" customWidth="1"/>
    <col min="10" max="10" width="12.7109375" style="201" bestFit="1" customWidth="1"/>
    <col min="11" max="11" width="10.00390625" style="201" bestFit="1" customWidth="1"/>
    <col min="12" max="12" width="5.7109375" style="201" hidden="1" customWidth="1"/>
    <col min="13" max="13" width="11.8515625" style="201" bestFit="1" customWidth="1"/>
    <col min="14" max="14" width="11.8515625" style="201" hidden="1" customWidth="1"/>
    <col min="15" max="15" width="12.57421875" style="130" bestFit="1" customWidth="1"/>
    <col min="16" max="16" width="12.421875" style="201" customWidth="1"/>
    <col min="17" max="17" width="10.57421875" style="201" hidden="1" customWidth="1"/>
    <col min="18" max="18" width="13.140625" style="201" customWidth="1"/>
    <col min="19" max="19" width="11.00390625" style="201" customWidth="1"/>
    <col min="20" max="20" width="7.28125" style="201" customWidth="1"/>
    <col min="21" max="21" width="11.8515625" style="201" bestFit="1" customWidth="1"/>
    <col min="22" max="22" width="34.421875" style="201" customWidth="1"/>
    <col min="23" max="16384" width="9.140625" style="201" customWidth="1"/>
  </cols>
  <sheetData>
    <row r="1" ht="15.75">
      <c r="B1" s="200" t="s">
        <v>263</v>
      </c>
    </row>
    <row r="3" ht="15.75">
      <c r="B3" s="200" t="s">
        <v>474</v>
      </c>
    </row>
    <row r="5" spans="2:6" ht="15.75">
      <c r="B5" s="200" t="s">
        <v>36</v>
      </c>
      <c r="D5" s="202" t="s">
        <v>192</v>
      </c>
      <c r="E5" s="203" t="s">
        <v>272</v>
      </c>
      <c r="F5" s="203" t="s">
        <v>273</v>
      </c>
    </row>
    <row r="6" spans="1:6" ht="15">
      <c r="A6" s="201" t="s">
        <v>98</v>
      </c>
      <c r="B6" s="201" t="s">
        <v>271</v>
      </c>
      <c r="D6" s="407">
        <f aca="true" t="shared" si="0" ref="D6:E10">SUMIF($G:$G,$A6,O$1:O$65536)</f>
        <v>1.6099999999999999</v>
      </c>
      <c r="E6" s="408">
        <f t="shared" si="0"/>
        <v>33500</v>
      </c>
      <c r="F6" s="408">
        <f>SUMIF($G:$G,$A6,R:R)</f>
        <v>39500</v>
      </c>
    </row>
    <row r="7" spans="1:6" ht="15">
      <c r="A7" s="201" t="s">
        <v>97</v>
      </c>
      <c r="B7" s="201" t="s">
        <v>274</v>
      </c>
      <c r="D7" s="407">
        <f t="shared" si="0"/>
        <v>1.23</v>
      </c>
      <c r="E7" s="408">
        <f t="shared" si="0"/>
        <v>25600</v>
      </c>
      <c r="F7" s="408">
        <f>SUMIF($G:$G,$A7,R:R)</f>
        <v>25600</v>
      </c>
    </row>
    <row r="8" spans="1:6" ht="15">
      <c r="A8" s="201" t="s">
        <v>39</v>
      </c>
      <c r="B8" s="201" t="s">
        <v>39</v>
      </c>
      <c r="D8" s="407">
        <f t="shared" si="0"/>
        <v>1.3</v>
      </c>
      <c r="E8" s="408">
        <f t="shared" si="0"/>
        <v>13900</v>
      </c>
      <c r="F8" s="408">
        <f>SUMIF($G:$G,$A8,R:R)</f>
        <v>13900</v>
      </c>
    </row>
    <row r="9" spans="1:6" ht="15">
      <c r="A9" s="201" t="s">
        <v>20</v>
      </c>
      <c r="B9" s="201" t="s">
        <v>275</v>
      </c>
      <c r="D9" s="407">
        <f t="shared" si="0"/>
        <v>1.5</v>
      </c>
      <c r="E9" s="408">
        <f t="shared" si="0"/>
        <v>48600</v>
      </c>
      <c r="F9" s="408">
        <f>SUMIF($G:$G,$A9,R:R)</f>
        <v>48600</v>
      </c>
    </row>
    <row r="10" spans="1:6" ht="15">
      <c r="A10" s="201" t="s">
        <v>99</v>
      </c>
      <c r="B10" s="201" t="s">
        <v>351</v>
      </c>
      <c r="D10" s="407">
        <f t="shared" si="0"/>
        <v>0</v>
      </c>
      <c r="E10" s="408">
        <f t="shared" si="0"/>
        <v>0</v>
      </c>
      <c r="F10" s="408">
        <f>SUMIF($G:$G,$A10,R:R)</f>
        <v>0</v>
      </c>
    </row>
    <row r="11" spans="2:15" s="204" customFormat="1" ht="15.75">
      <c r="B11" s="204" t="s">
        <v>276</v>
      </c>
      <c r="D11" s="205">
        <f>SUM(D6:D10)</f>
        <v>5.64</v>
      </c>
      <c r="E11" s="206">
        <f>SUM(E6:E10)</f>
        <v>121600</v>
      </c>
      <c r="F11" s="206">
        <f>SUM(F6:F10)</f>
        <v>127600</v>
      </c>
      <c r="O11" s="199"/>
    </row>
    <row r="12" ht="15.75" thickBot="1"/>
    <row r="13" spans="2:25" s="99" customFormat="1" ht="67.5" customHeight="1" thickBot="1">
      <c r="B13" s="131" t="s">
        <v>37</v>
      </c>
      <c r="C13" s="132" t="s">
        <v>76</v>
      </c>
      <c r="D13" s="133" t="s">
        <v>33</v>
      </c>
      <c r="E13" s="134" t="s">
        <v>34</v>
      </c>
      <c r="F13" s="133" t="s">
        <v>35</v>
      </c>
      <c r="G13" s="135" t="s">
        <v>36</v>
      </c>
      <c r="H13" s="136" t="s">
        <v>188</v>
      </c>
      <c r="I13" s="137" t="s">
        <v>44</v>
      </c>
      <c r="J13" s="134" t="s">
        <v>81</v>
      </c>
      <c r="K13" s="134" t="s">
        <v>270</v>
      </c>
      <c r="L13" s="134" t="s">
        <v>192</v>
      </c>
      <c r="M13" s="139" t="s">
        <v>77</v>
      </c>
      <c r="N13" s="134" t="s">
        <v>108</v>
      </c>
      <c r="O13" s="140" t="s">
        <v>255</v>
      </c>
      <c r="P13" s="134" t="s">
        <v>264</v>
      </c>
      <c r="Q13" s="138" t="s">
        <v>141</v>
      </c>
      <c r="R13" s="141" t="s">
        <v>265</v>
      </c>
      <c r="S13" s="135" t="s">
        <v>82</v>
      </c>
      <c r="T13" s="142" t="s">
        <v>40</v>
      </c>
      <c r="U13" s="136" t="s">
        <v>84</v>
      </c>
      <c r="V13" s="143"/>
      <c r="W13" s="144"/>
      <c r="X13" s="144"/>
      <c r="Y13" s="100"/>
    </row>
    <row r="14" spans="2:25" s="99" customFormat="1" ht="45">
      <c r="B14" s="207" t="s">
        <v>266</v>
      </c>
      <c r="C14" s="208">
        <f>VLOOKUP($B14,'Full list'!$C:$Y,2,FALSE)</f>
        <v>39500</v>
      </c>
      <c r="D14" s="145" t="str">
        <f>VLOOKUP($B14,'Full list'!$C:$Y,3,FALSE)</f>
        <v>P/T Operational Support Asst</v>
      </c>
      <c r="E14" s="145" t="str">
        <f>VLOOKUP($B14,'Full list'!$C:$Y,4,FALSE)</f>
        <v>Willie McCreadie</v>
      </c>
      <c r="F14" s="145" t="str">
        <f>VLOOKUP($B14,'Full list'!$C:$Y,5,FALSE)</f>
        <v>Environmental Services</v>
      </c>
      <c r="G14" s="146" t="str">
        <f>VLOOKUP($B14,'Full list'!$C:$Y,6,FALSE)</f>
        <v>Comm S</v>
      </c>
      <c r="H14" s="147" t="s">
        <v>6</v>
      </c>
      <c r="I14" s="148" t="s">
        <v>45</v>
      </c>
      <c r="J14" s="402">
        <f>VLOOKUP($B14,'Full list'!$C:$Y,8,FALSE)</f>
        <v>39539</v>
      </c>
      <c r="K14" s="149">
        <f>VLOOKUP($B14,'Full list'!$C:$Y,9,FALSE)</f>
        <v>12300</v>
      </c>
      <c r="L14" s="150">
        <v>0.61</v>
      </c>
      <c r="M14" s="151">
        <v>39672</v>
      </c>
      <c r="N14" s="152">
        <v>39539</v>
      </c>
      <c r="O14" s="153">
        <f>VLOOKUP($B14,'Full list'!$C:$Y,19,FALSE)</f>
        <v>0.61</v>
      </c>
      <c r="P14" s="154">
        <f>VLOOKUP($B14,'Full list'!$C:$Y,18,FALSE)</f>
        <v>12300</v>
      </c>
      <c r="Q14" s="155" t="e">
        <f>+#REF!-P14</f>
        <v>#REF!</v>
      </c>
      <c r="R14" s="154">
        <v>12300</v>
      </c>
      <c r="S14" s="156" t="s">
        <v>258</v>
      </c>
      <c r="T14" s="157">
        <f>VLOOKUP($B14,'Full list'!$C:$Y,21,FALSE)</f>
        <v>12180</v>
      </c>
      <c r="U14" s="209" t="str">
        <f>VLOOKUP($B14,'Full list'!$C:$Y,22,FALSE)</f>
        <v>1VIR1319</v>
      </c>
      <c r="V14" s="442" t="str">
        <f>VLOOKUP($B14,'Full list'!$C:$Y,23,FALSE)</f>
        <v>Aim to create job share following return from maternity leave - rejected by SMT.</v>
      </c>
      <c r="W14" s="158"/>
      <c r="X14" s="158"/>
      <c r="Y14" s="100"/>
    </row>
    <row r="15" spans="2:25" s="99" customFormat="1" ht="60">
      <c r="B15" s="172" t="s">
        <v>214</v>
      </c>
      <c r="C15" s="159">
        <f>VLOOKUP($B15,'Full list'!$C:$Y,2,FALSE)</f>
        <v>39668</v>
      </c>
      <c r="D15" s="172" t="str">
        <f>VLOOKUP($B15,'Full list'!$C:$Y,3,FALSE)</f>
        <v>Assistant Engineer</v>
      </c>
      <c r="E15" s="172" t="str">
        <f>VLOOKUP($B15,'Full list'!$C:$Y,4,FALSE)</f>
        <v>Les Tickner</v>
      </c>
      <c r="F15" s="145" t="str">
        <f>VLOOKUP($B15,'Full list'!$C:$Y,5,FALSE)</f>
        <v>Environmental Services</v>
      </c>
      <c r="G15" s="160" t="str">
        <f>VLOOKUP($B15,'Full list'!$C:$Y,6,FALSE)</f>
        <v>Comm S</v>
      </c>
      <c r="H15" s="161" t="s">
        <v>6</v>
      </c>
      <c r="I15" s="162" t="s">
        <v>45</v>
      </c>
      <c r="J15" s="166">
        <f>VLOOKUP($B15,'Full list'!$C:$Y,8,FALSE)</f>
        <v>39312</v>
      </c>
      <c r="K15" s="163">
        <f>VLOOKUP($B15,'Full list'!$C:$Y,9,FALSE)</f>
        <v>27200</v>
      </c>
      <c r="L15" s="164">
        <v>1</v>
      </c>
      <c r="M15" s="165">
        <v>39672</v>
      </c>
      <c r="N15" s="166">
        <v>39672</v>
      </c>
      <c r="O15" s="167">
        <f>VLOOKUP($B15,'Full list'!$C:$Y,19,FALSE)</f>
        <v>1</v>
      </c>
      <c r="P15" s="163">
        <f>VLOOKUP($B15,'Full list'!$C:$Y,18,FALSE)</f>
        <v>21200</v>
      </c>
      <c r="Q15" s="168" t="e">
        <f>+#REF!-P15</f>
        <v>#REF!</v>
      </c>
      <c r="R15" s="163">
        <f>27200</f>
        <v>27200</v>
      </c>
      <c r="S15" s="169" t="s">
        <v>121</v>
      </c>
      <c r="T15" s="170">
        <f>VLOOKUP($B15,'Full list'!$C:$Y,21,FALSE)</f>
        <v>11510</v>
      </c>
      <c r="U15" s="184" t="str">
        <f>VLOOKUP($B15,'Full list'!$C:$Y,22,FALSE)</f>
        <v>1VIR1319</v>
      </c>
      <c r="V15" s="443" t="str">
        <f>VLOOKUP($B15,'Full list'!$C:$Y,23,FALSE)</f>
        <v>Engineer's post deleted but £6k of 2008/09 saving (£27,200) used to extend temp Support Asst post to Mar 09</v>
      </c>
      <c r="W15" s="158"/>
      <c r="X15" s="158"/>
      <c r="Y15" s="100"/>
    </row>
    <row r="16" spans="2:25" s="99" customFormat="1" ht="60">
      <c r="B16" s="172" t="s">
        <v>267</v>
      </c>
      <c r="C16" s="171">
        <f>VLOOKUP($B16,'Full list'!$C:$Y,2,FALSE)</f>
        <v>39493</v>
      </c>
      <c r="D16" s="172" t="str">
        <f>VLOOKUP($B16,'Full list'!$C:$Y,3,FALSE)</f>
        <v>Revenues Officer</v>
      </c>
      <c r="E16" s="172" t="str">
        <f>VLOOKUP($B16,'Full list'!$C:$Y,4,FALSE)</f>
        <v>Peter Mason</v>
      </c>
      <c r="F16" s="181" t="str">
        <f>VLOOKUP($B16,'Full list'!$C:$Y,5,FALSE)</f>
        <v>Revenues (C Tax)</v>
      </c>
      <c r="G16" s="173" t="str">
        <f>VLOOKUP($B16,'Full list'!$C:$Y,6,FALSE)</f>
        <v>Corp S</v>
      </c>
      <c r="H16" s="161" t="s">
        <v>6</v>
      </c>
      <c r="I16" s="162" t="s">
        <v>45</v>
      </c>
      <c r="J16" s="182">
        <f>VLOOKUP($B16,'Full list'!$C:$Y,8,FALSE)</f>
        <v>39568</v>
      </c>
      <c r="K16" s="174">
        <f>VLOOKUP($B16,'Full list'!$C:$Y,9,FALSE)</f>
        <v>26367</v>
      </c>
      <c r="L16" s="175">
        <v>1</v>
      </c>
      <c r="M16" s="176">
        <v>39497</v>
      </c>
      <c r="N16" s="177" t="s">
        <v>86</v>
      </c>
      <c r="O16" s="167">
        <f>VLOOKUP($B16,'Full list'!$C:$Y,19,FALSE)</f>
        <v>1.23</v>
      </c>
      <c r="P16" s="174">
        <f>VLOOKUP($B16,'Full list'!$C:$Y,18,FALSE)</f>
        <v>25600</v>
      </c>
      <c r="Q16" s="168" t="e">
        <f>+#REF!-P16</f>
        <v>#REF!</v>
      </c>
      <c r="R16" s="174">
        <v>25600</v>
      </c>
      <c r="S16" s="169" t="s">
        <v>475</v>
      </c>
      <c r="T16" s="178">
        <f>VLOOKUP($B16,'Full list'!$C:$Y,21,FALSE)</f>
        <v>44510</v>
      </c>
      <c r="U16" s="179" t="str">
        <f>VLOOKUP($B16,'Full list'!$C:$Y,22,FALSE)</f>
        <v>1VIR 1200</v>
      </c>
      <c r="V16" s="443" t="str">
        <f>VLOOKUP($B16,'Full list'!$C:$Y,23,FALSE)</f>
        <v>Loss of trainee Customer Services Asst and replacement of Revenues Officer by trainee post</v>
      </c>
      <c r="W16" s="158"/>
      <c r="X16" s="158"/>
      <c r="Y16" s="100"/>
    </row>
    <row r="17" spans="2:25" s="99" customFormat="1" ht="60">
      <c r="B17" s="181" t="s">
        <v>268</v>
      </c>
      <c r="C17" s="171">
        <f>VLOOKUP($B17,'Full list'!$C:$Y,2,FALSE)</f>
        <v>39498</v>
      </c>
      <c r="D17" s="181" t="str">
        <f>VLOOKUP($B17,'Full list'!$C:$Y,3,FALSE)</f>
        <v>Senior Committee Clerk</v>
      </c>
      <c r="E17" s="172" t="str">
        <f>VLOOKUP($B17,'Full list'!$C:$Y,4,FALSE)</f>
        <v>Ian Dixon</v>
      </c>
      <c r="F17" s="181" t="str">
        <f>VLOOKUP($B17,'Full list'!$C:$Y,5,FALSE)</f>
        <v>Democratic Services</v>
      </c>
      <c r="G17" s="173" t="str">
        <f>VLOOKUP($B17,'Full list'!$C:$Y,6,FALSE)</f>
        <v>LDS</v>
      </c>
      <c r="H17" s="161" t="s">
        <v>6</v>
      </c>
      <c r="I17" s="162" t="s">
        <v>45</v>
      </c>
      <c r="J17" s="182">
        <f>VLOOKUP($B17,'Full list'!$C:$Y,8,FALSE)</f>
        <v>39472</v>
      </c>
      <c r="K17" s="174">
        <f>VLOOKUP($B17,'Full list'!$C:$Y,9,FALSE)</f>
        <v>23075</v>
      </c>
      <c r="L17" s="175">
        <v>1.3</v>
      </c>
      <c r="M17" s="176">
        <v>39504</v>
      </c>
      <c r="N17" s="177" t="s">
        <v>88</v>
      </c>
      <c r="O17" s="167">
        <f>VLOOKUP($B17,'Full list'!$C:$Y,19,FALSE)</f>
        <v>1.3</v>
      </c>
      <c r="P17" s="174">
        <f>VLOOKUP($B17,'Full list'!$C:$Y,18,FALSE)</f>
        <v>13900</v>
      </c>
      <c r="Q17" s="168" t="e">
        <f>+#REF!-P17</f>
        <v>#REF!</v>
      </c>
      <c r="R17" s="174">
        <v>13900</v>
      </c>
      <c r="S17" s="169" t="s">
        <v>475</v>
      </c>
      <c r="T17" s="180" t="str">
        <f>VLOOKUP($B17,'Full list'!$C:$Y,21,FALSE)</f>
        <v>32030/ 50/60</v>
      </c>
      <c r="U17" s="169" t="str">
        <f>VLOOKUP($B17,'Full list'!$C:$Y,22,FALSE)</f>
        <v>1VIR 1203</v>
      </c>
      <c r="V17" s="444" t="str">
        <f>VLOOKUP($B17,'Full list'!$C:$Y,23,FALSE)</f>
        <v>Deleted  part time secretarial and full time admin. posts and increased existing Cmttee Clerks post hours.</v>
      </c>
      <c r="W17" s="158"/>
      <c r="X17" s="158"/>
      <c r="Y17" s="100"/>
    </row>
    <row r="18" spans="2:25" s="99" customFormat="1" ht="45">
      <c r="B18" s="172" t="s">
        <v>70</v>
      </c>
      <c r="C18" s="171">
        <f>VLOOKUP($B18,'Full list'!$C:$Y,2,FALSE)</f>
        <v>39534</v>
      </c>
      <c r="D18" s="181" t="str">
        <f>VLOOKUP($B18,'Full list'!$C:$Y,3,FALSE)</f>
        <v>Clerical Assistant (Sc 3)</v>
      </c>
      <c r="E18" s="172" t="str">
        <f>VLOOKUP($B18,'Full list'!$C:$Y,4,FALSE)</f>
        <v>David Williams</v>
      </c>
      <c r="F18" s="181" t="str">
        <f>VLOOKUP($B18,'Full list'!$C:$Y,5,FALSE)</f>
        <v>Personnel &amp; Development</v>
      </c>
      <c r="G18" s="173" t="str">
        <f>VLOOKUP($B18,'Full list'!$C:$Y,6,FALSE)</f>
        <v>PPP</v>
      </c>
      <c r="H18" s="161" t="s">
        <v>6</v>
      </c>
      <c r="I18" s="162" t="s">
        <v>45</v>
      </c>
      <c r="J18" s="182">
        <f>VLOOKUP($B18,'Full list'!$C:$Y,8,FALSE)</f>
        <v>39542</v>
      </c>
      <c r="K18" s="174">
        <f>VLOOKUP($B18,'Full list'!$C:$Y,9,FALSE)</f>
        <v>10000</v>
      </c>
      <c r="L18" s="175">
        <f>0.5</f>
        <v>0.5</v>
      </c>
      <c r="M18" s="176">
        <v>39539</v>
      </c>
      <c r="N18" s="182"/>
      <c r="O18" s="167">
        <f>VLOOKUP($B18,'Full list'!$C:$Y,19,FALSE)</f>
        <v>0.5</v>
      </c>
      <c r="P18" s="174">
        <f>VLOOKUP($B18,'Full list'!$C:$Y,18,FALSE)</f>
        <v>9900</v>
      </c>
      <c r="Q18" s="168" t="e">
        <f>+#REF!-P18</f>
        <v>#REF!</v>
      </c>
      <c r="R18" s="174">
        <v>9900</v>
      </c>
      <c r="S18" s="183" t="s">
        <v>121</v>
      </c>
      <c r="T18" s="178">
        <f>VLOOKUP($B18,'Full list'!$C:$Y,21,FALSE)</f>
        <v>35040</v>
      </c>
      <c r="U18" s="183" t="str">
        <f>VLOOKUP($B18,'Full list'!$C:$Y,22,FALSE)</f>
        <v>1VIR 1206</v>
      </c>
      <c r="V18" s="444" t="str">
        <f>VLOOKUP($B18,'Full list'!$C:$Y,23,FALSE)</f>
        <v>Community Services agreed to pick up job costing and timesheet inputting</v>
      </c>
      <c r="W18" s="100"/>
      <c r="X18" s="100"/>
      <c r="Y18" s="100"/>
    </row>
    <row r="19" spans="2:25" s="99" customFormat="1" ht="45">
      <c r="B19" s="210" t="s">
        <v>269</v>
      </c>
      <c r="C19" s="211">
        <f>VLOOKUP($B19,'Full list'!$C:$Y,2,FALSE)</f>
        <v>39520</v>
      </c>
      <c r="D19" s="185" t="str">
        <f>VLOOKUP($B19,'Full list'!$C:$Y,3,FALSE)</f>
        <v>Community Safety Development Officer</v>
      </c>
      <c r="E19" s="185" t="str">
        <f>VLOOKUP($B19,'Full list'!$C:$Y,4,FALSE)</f>
        <v>Carolyn Curr</v>
      </c>
      <c r="F19" s="185" t="str">
        <f>VLOOKUP($B19,'Full list'!$C:$Y,5,FALSE)</f>
        <v>Policy and Performance</v>
      </c>
      <c r="G19" s="186" t="str">
        <f>VLOOKUP($B19,'Full list'!$C:$Y,6,FALSE)</f>
        <v>PPP</v>
      </c>
      <c r="H19" s="187" t="s">
        <v>6</v>
      </c>
      <c r="I19" s="188" t="s">
        <v>45</v>
      </c>
      <c r="J19" s="403">
        <f>VLOOKUP($B19,'Full list'!$C:$Y,8,FALSE)</f>
        <v>39517</v>
      </c>
      <c r="K19" s="189">
        <f>VLOOKUP($B19,'Full list'!$C:$Y,9,FALSE)</f>
        <v>38000</v>
      </c>
      <c r="L19" s="190">
        <v>1</v>
      </c>
      <c r="M19" s="191">
        <v>39539</v>
      </c>
      <c r="N19" s="192" t="s">
        <v>103</v>
      </c>
      <c r="O19" s="193">
        <f>VLOOKUP($B19,'Full list'!$C:$Y,19,FALSE)</f>
        <v>1</v>
      </c>
      <c r="P19" s="189">
        <f>VLOOKUP($B19,'Full list'!$C:$Y,18,FALSE)</f>
        <v>38200</v>
      </c>
      <c r="Q19" s="194" t="e">
        <f>+#REF!-P19</f>
        <v>#REF!</v>
      </c>
      <c r="R19" s="189">
        <f>30600+2300+5300</f>
        <v>38200</v>
      </c>
      <c r="S19" s="195" t="s">
        <v>121</v>
      </c>
      <c r="T19" s="196">
        <f>VLOOKUP($B19,'Full list'!$C:$Y,21,FALSE)</f>
        <v>21800</v>
      </c>
      <c r="U19" s="197" t="str">
        <f>VLOOKUP($B19,'Full list'!$C:$Y,22,FALSE)</f>
        <v>1VIR 1206</v>
      </c>
      <c r="V19" s="443" t="str">
        <f>VLOOKUP($B19,'Full list'!$C:$Y,23,FALSE)</f>
        <v>Post deleted 25/03/08 - Saving of £38,000</v>
      </c>
      <c r="W19" s="100"/>
      <c r="X19" s="100"/>
      <c r="Y19" s="100"/>
    </row>
    <row r="20" spans="2:25" s="99" customFormat="1" ht="45.75" thickBot="1">
      <c r="B20" s="210" t="s">
        <v>390</v>
      </c>
      <c r="C20" s="211">
        <f>VLOOKUP($B20,'Full list'!$C:$Y,2,FALSE)</f>
        <v>39503</v>
      </c>
      <c r="D20" s="185" t="str">
        <f>VLOOKUP($B20,'Full list'!$C:$Y,3,FALSE)</f>
        <v>Scrutiny Officer (Part time 0.8 FTE)</v>
      </c>
      <c r="E20" s="185" t="str">
        <f>VLOOKUP($B20,'Full list'!$C:$Y,4,FALSE)</f>
        <v>David Taylor</v>
      </c>
      <c r="F20" s="185" t="str">
        <f>VLOOKUP($B20,'Full list'!$C:$Y,5,FALSE)</f>
        <v>Policy &amp; Performance</v>
      </c>
      <c r="G20" s="186" t="str">
        <f>VLOOKUP($B20,'Full list'!$C:$Y,6,FALSE)</f>
        <v>PPP</v>
      </c>
      <c r="H20" s="187" t="s">
        <v>6</v>
      </c>
      <c r="I20" s="188" t="s">
        <v>45</v>
      </c>
      <c r="J20" s="403" t="str">
        <f>VLOOKUP($B20,'Full list'!$C:$Y,8,FALSE)</f>
        <v>-</v>
      </c>
      <c r="K20" s="189">
        <f>VLOOKUP($B20,'Full list'!$C:$Y,9,FALSE)</f>
        <v>28300</v>
      </c>
      <c r="L20" s="190">
        <v>1</v>
      </c>
      <c r="M20" s="191">
        <v>39539</v>
      </c>
      <c r="N20" s="192" t="s">
        <v>103</v>
      </c>
      <c r="O20" s="193">
        <f>VLOOKUP($B20,'Full list'!$C:$Y,19,FALSE)</f>
        <v>0</v>
      </c>
      <c r="P20" s="189">
        <f>VLOOKUP($B20,'Full list'!$C:$Y,18,FALSE)</f>
        <v>500</v>
      </c>
      <c r="Q20" s="194" t="e">
        <f>+#REF!-P20</f>
        <v>#REF!</v>
      </c>
      <c r="R20" s="189">
        <v>500</v>
      </c>
      <c r="S20" s="195" t="s">
        <v>121</v>
      </c>
      <c r="T20" s="196">
        <f>VLOOKUP($B20,'Full list'!$C:$Y,21,FALSE)</f>
        <v>35200</v>
      </c>
      <c r="U20" s="197" t="str">
        <f>VLOOKUP($B20,'Full list'!$C:$Y,22,FALSE)</f>
        <v>1VIR 1177</v>
      </c>
      <c r="V20" s="442" t="str">
        <f>VLOOKUP($B20,'Full list'!$C:$Y,23,FALSE)</f>
        <v>Mini restructure of section &amp; allocation of workload</v>
      </c>
      <c r="W20" s="100"/>
      <c r="X20" s="100"/>
      <c r="Y20" s="100"/>
    </row>
    <row r="21" spans="2:22" s="218" customFormat="1" ht="16.5" thickBot="1">
      <c r="B21" s="212"/>
      <c r="C21" s="213"/>
      <c r="D21" s="213"/>
      <c r="E21" s="213"/>
      <c r="F21" s="213"/>
      <c r="G21" s="213"/>
      <c r="H21" s="213"/>
      <c r="I21" s="213"/>
      <c r="J21" s="213"/>
      <c r="K21" s="214">
        <f>SUM(K14:K20)</f>
        <v>165242</v>
      </c>
      <c r="L21" s="215">
        <f>SUM(L14:L20)</f>
        <v>6.41</v>
      </c>
      <c r="M21" s="213"/>
      <c r="N21" s="213"/>
      <c r="O21" s="198">
        <f>SUM(O14:O20)</f>
        <v>5.64</v>
      </c>
      <c r="P21" s="214">
        <f>SUM(P14:P20)</f>
        <v>121600</v>
      </c>
      <c r="Q21" s="216" t="e">
        <f>SUM(Q14:Q20)</f>
        <v>#REF!</v>
      </c>
      <c r="R21" s="214">
        <f>SUM(R14:R20)</f>
        <v>127600</v>
      </c>
      <c r="S21" s="213"/>
      <c r="T21" s="213"/>
      <c r="U21" s="213"/>
      <c r="V21" s="217"/>
    </row>
    <row r="22" spans="15:16" s="404" customFormat="1" ht="12">
      <c r="O22" s="405">
        <f>O21-'Full list'!U126</f>
        <v>0</v>
      </c>
      <c r="P22" s="406">
        <f>P21-'Full list'!T126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&amp;LK:\Vacancy Management\Vacancy Management\Reports\SMT VM - STO Reports fr 100608\ 08 12 23 SMT - Vacancy Management&amp;R&amp;P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Carlisle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OdeleS</dc:creator>
  <cp:keywords/>
  <dc:description/>
  <cp:lastModifiedBy>RachelR</cp:lastModifiedBy>
  <cp:lastPrinted>2008-12-22T13:59:00Z</cp:lastPrinted>
  <dcterms:created xsi:type="dcterms:W3CDTF">2008-02-13T16:49:46Z</dcterms:created>
  <dcterms:modified xsi:type="dcterms:W3CDTF">2008-12-22T14:00:09Z</dcterms:modified>
  <cp:category/>
  <cp:version/>
  <cp:contentType/>
  <cp:contentStatus/>
</cp:coreProperties>
</file>