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55" windowWidth="11100" windowHeight="5835" firstSheet="1" activeTab="5"/>
  </bookViews>
  <sheets>
    <sheet name="Summary" sheetId="1" state="hidden" r:id="rId1"/>
    <sheet name="11" sheetId="2" r:id="rId2"/>
    <sheet name="12" sheetId="3" r:id="rId3"/>
    <sheet name="13" sheetId="4" r:id="rId4"/>
    <sheet name="14" sheetId="5" r:id="rId5"/>
    <sheet name="15" sheetId="6" r:id="rId6"/>
    <sheet name="16" sheetId="7" r:id="rId7"/>
    <sheet name="Appendix B" sheetId="8" state="hidden" r:id="rId8"/>
    <sheet name="17" sheetId="9" r:id="rId9"/>
  </sheets>
  <definedNames>
    <definedName name="_xlnm.Print_Area" localSheetId="1">'11'!$A:$IV</definedName>
    <definedName name="_xlnm.Print_Area" localSheetId="2">'12'!$A$1:$G$46</definedName>
    <definedName name="_xlnm.Print_Area" localSheetId="3">'13'!$A$1:$G$39</definedName>
    <definedName name="_xlnm.Print_Area" localSheetId="4">'14'!$A$1:$G$30</definedName>
    <definedName name="_xlnm.Print_Area" localSheetId="5">'15'!$A:$IV</definedName>
    <definedName name="_xlnm.Print_Area" localSheetId="6">'16'!$A$1:$G$34</definedName>
    <definedName name="_xlnm.Print_Area" localSheetId="8">'17'!$A$1:$I$56</definedName>
    <definedName name="_xlnm.Print_Area" localSheetId="7">'Appendix B'!$A$1:$I$74</definedName>
    <definedName name="_xlnm.Print_Area" localSheetId="0">'Summary'!$A$1:$M$15</definedName>
    <definedName name="_xlnm.Print_Titles" localSheetId="8">'17'!$10:$10</definedName>
    <definedName name="_xlnm.Print_Titles" localSheetId="7">'Appendix B'!$11:$13</definedName>
  </definedNames>
  <calcPr fullCalcOnLoad="1"/>
</workbook>
</file>

<file path=xl/sharedStrings.xml><?xml version="1.0" encoding="utf-8"?>
<sst xmlns="http://schemas.openxmlformats.org/spreadsheetml/2006/main" count="460" uniqueCount="182">
  <si>
    <t>Total</t>
  </si>
  <si>
    <t>Note</t>
  </si>
  <si>
    <t>Annual Budget</t>
  </si>
  <si>
    <t>Total Variance to date</t>
  </si>
  <si>
    <t xml:space="preserve"> </t>
  </si>
  <si>
    <t>£</t>
  </si>
  <si>
    <t>Expenditure</t>
  </si>
  <si>
    <t>Variance</t>
  </si>
  <si>
    <t>CORPORATE SERVICES</t>
  </si>
  <si>
    <t xml:space="preserve">Service </t>
  </si>
  <si>
    <t>Director's Comments</t>
  </si>
  <si>
    <t>COMMUNITY SERVICES</t>
  </si>
  <si>
    <t>APPENDIX A1</t>
  </si>
  <si>
    <t>APPENDIX A2</t>
  </si>
  <si>
    <t>APPENDIX A3</t>
  </si>
  <si>
    <t>APPENDIX A4</t>
  </si>
  <si>
    <t>APPENDIX A5</t>
  </si>
  <si>
    <t>APPENDIX A6</t>
  </si>
  <si>
    <t>CARLISLE RENAISSANCE</t>
  </si>
  <si>
    <t>Miscellaneous variances</t>
  </si>
  <si>
    <t>Gross</t>
  </si>
  <si>
    <t>Income</t>
  </si>
  <si>
    <t>Recharges</t>
  </si>
  <si>
    <t>Directorate</t>
  </si>
  <si>
    <t>Community Services</t>
  </si>
  <si>
    <t>Carlisle Renaissance</t>
  </si>
  <si>
    <t>Development Services</t>
  </si>
  <si>
    <t>Corporate Services</t>
  </si>
  <si>
    <t>Legal and Democratic Services</t>
  </si>
  <si>
    <t>People Policy Performance Services</t>
  </si>
  <si>
    <t xml:space="preserve">Total </t>
  </si>
  <si>
    <t>Total Actual</t>
  </si>
  <si>
    <t>NOT FOR PUBLICATION</t>
  </si>
  <si>
    <t>Director's comments</t>
  </si>
  <si>
    <t>Budget to date</t>
  </si>
  <si>
    <t>Analysis of Variances</t>
  </si>
  <si>
    <t>Miscellaneous</t>
  </si>
  <si>
    <t xml:space="preserve">Treasury Management </t>
  </si>
  <si>
    <t>Building Maintenance</t>
  </si>
  <si>
    <t>Tullie House</t>
  </si>
  <si>
    <t>Car Parking</t>
  </si>
  <si>
    <t>Recycling &amp; Waste Management</t>
  </si>
  <si>
    <t>Highways Claimed Rights</t>
  </si>
  <si>
    <t>Pre Approval Project</t>
  </si>
  <si>
    <t>DEVELOPMENT SERVICES</t>
  </si>
  <si>
    <t>LEGAL &amp; DEMOCRATIC SERVICES</t>
  </si>
  <si>
    <t>PEOPLE, POLICY &amp; PERFORMANCE SERVICES</t>
  </si>
  <si>
    <t>Land Charges</t>
  </si>
  <si>
    <t>and further information is required to allocate budgets to match anticipated income and expenditure.</t>
  </si>
  <si>
    <t xml:space="preserve">There are no major variances to date on which to comment, however the start of some schemes has been delayed </t>
  </si>
  <si>
    <t>Public Lighting</t>
  </si>
  <si>
    <t xml:space="preserve"> 6. Underspend on maintenance costs.</t>
  </si>
  <si>
    <t xml:space="preserve"> 5. Underspend on schemes with resultant reduction in income.</t>
  </si>
  <si>
    <t>Conference Group</t>
  </si>
  <si>
    <t>Other Financial Costs</t>
  </si>
  <si>
    <t>REVENUE BUDGET MONITORING - APRIL TO JUNE 2009</t>
  </si>
  <si>
    <t>REVENUE BUDGET MONITORING 2009/10</t>
  </si>
  <si>
    <t>Position as at 30 June 2009</t>
  </si>
  <si>
    <t>Carlisle Renaissance was awarded ringfenced funding of £1,020,000 over three years from 2005/06. Further</t>
  </si>
  <si>
    <t>ringfenced funding has now been approved for 2009/10 and 2010/11.</t>
  </si>
  <si>
    <t>2. Further information is required to match anticipated expenditure patterns to enable budget monitoring.</t>
  </si>
  <si>
    <t xml:space="preserve">    also ensue if this is not progressed.</t>
  </si>
  <si>
    <t>1. The full establishment of staff has still not been achieved and underspends on the operational costs will</t>
  </si>
  <si>
    <t>CSR07 - 2007/08 Baseline Expenditure</t>
  </si>
  <si>
    <t>Total Baseline Expenditure</t>
  </si>
  <si>
    <t>Cumulative Targets for period 2008/09 to 2010/11 as a percentage of above Baseline</t>
  </si>
  <si>
    <t>2008/09 CSR07 Efficiency Target = 3%</t>
  </si>
  <si>
    <t>2009/10 CSR07 Efficiency Target = 6.10%</t>
  </si>
  <si>
    <t>2010/11 CSR07 Efficiency Target = 9.30%</t>
  </si>
  <si>
    <t>CSR07/National Indicator 179 - Cash Releasing Value for Money Gains</t>
  </si>
  <si>
    <t>2008/09 Actual Achieved</t>
  </si>
  <si>
    <t>2009/10 Forecast</t>
  </si>
  <si>
    <t>2009/10      Apl-June Forecast</t>
  </si>
  <si>
    <t>2009/10 Apl-June Actual to date</t>
  </si>
  <si>
    <t xml:space="preserve">Notes: How Obtained? </t>
  </si>
  <si>
    <t>Shared Service income (Revs &amp; Bens Management - Copeland)</t>
  </si>
  <si>
    <t>Increased income from management arrangement with Copeland BC. No additional R&amp;B resources employed</t>
  </si>
  <si>
    <t>Energy Efficiency Advice Centre</t>
  </si>
  <si>
    <t>Same service by different provider. TUPE Transfer</t>
  </si>
  <si>
    <t>Review Operation of TIC</t>
  </si>
  <si>
    <t>Increased capacity obtained through joint working</t>
  </si>
  <si>
    <t>Community Development Review</t>
  </si>
  <si>
    <t>Initial efficiency obtained via staff deletion  - Action plan produced for future years</t>
  </si>
  <si>
    <t>Printing &amp; Copying Review</t>
  </si>
  <si>
    <t>Providing no detrimental effect on service</t>
  </si>
  <si>
    <t>Vacancy Management</t>
  </si>
  <si>
    <t>Posts Deleted from Establishment</t>
  </si>
  <si>
    <t>Renewals Reserve Savings</t>
  </si>
  <si>
    <t>Alternative method of financing required</t>
  </si>
  <si>
    <t>Through revised working practices aims to be self funding</t>
  </si>
  <si>
    <t>Transformation / Shared Management Arrangements</t>
  </si>
  <si>
    <t>Shared Management arrangements - better use of resources through more efficient structure</t>
  </si>
  <si>
    <t>Improved Service Planning - effective from 2010/11</t>
  </si>
  <si>
    <t>Carbon Trust - Invest to Save</t>
  </si>
  <si>
    <t>Capital Investment - efficiency achieved through lower energy useage/consumption</t>
  </si>
  <si>
    <t>Stores</t>
  </si>
  <si>
    <t>Based on 5% of 2008/09 Budget = (£48,600+ £96,400)</t>
  </si>
  <si>
    <t>Customer Services</t>
  </si>
  <si>
    <t>Based on 5% of 2008/09 Budget = £724,000</t>
  </si>
  <si>
    <t>ICT Shared Service</t>
  </si>
  <si>
    <t>Based on September 2008 Business Case</t>
  </si>
  <si>
    <t>ICT Shared Service - Capital Expenditure</t>
  </si>
  <si>
    <t>Asset Disposals - interest on Capital Receipts</t>
  </si>
  <si>
    <t>Efficiency Only not CSR07 compliant</t>
  </si>
  <si>
    <t>Procurement - phase 1</t>
  </si>
  <si>
    <t>Smarter Procurement reduction at source included in Base Budget 2008/09</t>
  </si>
  <si>
    <t>Salary Turnover</t>
  </si>
  <si>
    <t>Positions temporarily vacant prior to recruitment.</t>
  </si>
  <si>
    <t>Revenues &amp; Benefits Shared Service phase 2</t>
  </si>
  <si>
    <t>CSR07/NI179 - Sub Total :</t>
  </si>
  <si>
    <t>Improvement &amp; Efficiency Reviews - Non Cashable Gains</t>
  </si>
  <si>
    <t>Marketing</t>
  </si>
  <si>
    <t>On Hold Pending Transformation</t>
  </si>
  <si>
    <t>Asset Review</t>
  </si>
  <si>
    <t>Income generated from future years property leases.</t>
  </si>
  <si>
    <t>Buildings maintenenace</t>
  </si>
  <si>
    <t>Realignment of Expenditure - Charges Review</t>
  </si>
  <si>
    <t>Arts &amp; Museums</t>
  </si>
  <si>
    <t>Council withdrawing from External event at Brampton Live</t>
  </si>
  <si>
    <t>Creditors</t>
  </si>
  <si>
    <t>Minimum of £20k DIP transferred from Customer Services</t>
  </si>
  <si>
    <t>Brampton Business &amp; Telecentre</t>
  </si>
  <si>
    <t>Council has closed the facility.</t>
  </si>
  <si>
    <t>Internal Audit Service</t>
  </si>
  <si>
    <t>Shared Service Exercise  - Implementation target 2010</t>
  </si>
  <si>
    <t>Payroll</t>
  </si>
  <si>
    <t>Shared Service Exercise yet to be undertaken</t>
  </si>
  <si>
    <t>Personnel/HR</t>
  </si>
  <si>
    <t>Procurement - phase 2</t>
  </si>
  <si>
    <t>Shared Service Exercise - Implementation target 2010</t>
  </si>
  <si>
    <t>Waste Services</t>
  </si>
  <si>
    <t>Improvement &amp; Efficiency - Sub Total :</t>
  </si>
  <si>
    <t>Other Efficiencies Identified/Obtained:</t>
  </si>
  <si>
    <t>Shared Chief Executive Arrangement with Allerdale BC</t>
  </si>
  <si>
    <t>Single Year Efficiency Only not CSR07 compliant</t>
  </si>
  <si>
    <t>Concessionary Fares</t>
  </si>
  <si>
    <t>Other Efficiencies - Sub Total :</t>
  </si>
  <si>
    <t>Sum of Total Efficiencies Obtained / Forecast</t>
  </si>
  <si>
    <t>L:\Gershon\2008-09 CSR07</t>
  </si>
  <si>
    <t>Waste Services - Capital from cessation of trade service</t>
  </si>
  <si>
    <t>Cessation of existing service and review of vehicle needs</t>
  </si>
  <si>
    <t xml:space="preserve">      &lt; Multiplicative Calculation</t>
  </si>
  <si>
    <t>Mayor's Charity Accounts</t>
  </si>
  <si>
    <t>Hostels and Homeshares</t>
  </si>
  <si>
    <t>Planning Services Management</t>
  </si>
  <si>
    <t>1. Underspent expenses on search fees due to the ongoing downturn in the housing market.</t>
  </si>
  <si>
    <t>Recovery</t>
  </si>
  <si>
    <t xml:space="preserve"> 3. Increased recovery of court costs.</t>
  </si>
  <si>
    <t>Benefit Payments and Subsidy</t>
  </si>
  <si>
    <t xml:space="preserve"> 4. Lower than expected contractor payments.</t>
  </si>
  <si>
    <t>Bereavement Services</t>
  </si>
  <si>
    <t>Highways Management &amp; Maintenance</t>
  </si>
  <si>
    <t>Green Spaces</t>
  </si>
  <si>
    <t xml:space="preserve"> 1. Additional grants received and budgets to be allocated</t>
  </si>
  <si>
    <t xml:space="preserve"> 2. Surplus on savings to date of £17,400 for Vacancy Management and £11,000 Salary Turnover. </t>
  </si>
  <si>
    <t xml:space="preserve"> 7. Shortfall in income across car parks' contracts and PCNs; and increased sewerage charges.</t>
  </si>
  <si>
    <t xml:space="preserve"> 1. Increased interest relates to effects of maturity of investments in 09/10 at last year's interest rates. </t>
  </si>
  <si>
    <t>Potential high risk areas identified in the 2008/09 Outturn report included the implementation of the Pay and</t>
  </si>
  <si>
    <t xml:space="preserve"> 2. Consultation and advice for Carlisle Airport appeal.</t>
  </si>
  <si>
    <t>Workforce Strategy and the final year's commitment to LSP, any slippage will be closely monitored.</t>
  </si>
  <si>
    <t>Financial Plan £</t>
  </si>
  <si>
    <t>Vacancy Managent £</t>
  </si>
  <si>
    <t>Movements £</t>
  </si>
  <si>
    <t>from SMS/reports etc.</t>
  </si>
  <si>
    <t>Difference (if any)</t>
  </si>
  <si>
    <t>Annual Budget from Appendix</t>
  </si>
  <si>
    <t>Annual Budget         £</t>
  </si>
  <si>
    <t>Salary Turnover Savings      £</t>
  </si>
  <si>
    <t>Carry Forwards      £</t>
  </si>
  <si>
    <t>Variance    £</t>
  </si>
  <si>
    <t>Total Expenditure    £</t>
  </si>
  <si>
    <t>Budget to date              £</t>
  </si>
  <si>
    <t xml:space="preserve">     Savings across all budget headings are being reviewed to enable a balanced budget by the year end.</t>
  </si>
  <si>
    <t xml:space="preserve"> 1. Budget changes following the Efficiency Review are now in place, underspends on Municipal Maintenance</t>
  </si>
  <si>
    <t xml:space="preserve"> 8. Overspent tipping charges &amp; vehicle repairs, offset by reduced transport hire costs and increased income.</t>
  </si>
  <si>
    <t xml:space="preserve"> 9. Shortfall from sales and admissions, offset by additional income from grants, catering and conferences.</t>
  </si>
  <si>
    <t xml:space="preserve"> 2. Shortfall in income [as detailed in paragraph 6.4].</t>
  </si>
  <si>
    <t xml:space="preserve"> 3. Underspend on various projects, including allotments and play areas.</t>
  </si>
  <si>
    <t xml:space="preserve"> 4. Underspend on various schemes e.g. small scale projects.</t>
  </si>
  <si>
    <t xml:space="preserve">     programme budgets throughout the directorates contribute to the shortfall in income.</t>
  </si>
  <si>
    <t xml:space="preserve"> 5. Reduced costs and increased income due to the impact of the current economic climate and the effect</t>
  </si>
  <si>
    <t xml:space="preserve">    on benefit caseloads and resulting subsidy levels.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</si>
</sst>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 ;\-#,##0\ "/>
    <numFmt numFmtId="165" formatCode="0.0"/>
    <numFmt numFmtId="166" formatCode="#,##0;\(#,##0\)"/>
    <numFmt numFmtId="167" formatCode="#,##0;\(#,##0.00\)"/>
    <numFmt numFmtId="168" formatCode="0.0%"/>
  </numFmts>
  <fonts count="43">
    <font>
      <sz val="10"/>
      <name val="Arial"/>
      <family val="0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166" fontId="2" fillId="0" borderId="0" xfId="0" applyNumberFormat="1" applyFont="1" applyFill="1" applyAlignment="1">
      <alignment/>
    </xf>
    <xf numFmtId="166" fontId="1" fillId="0" borderId="0" xfId="0" applyNumberFormat="1" applyFont="1" applyFill="1" applyAlignment="1">
      <alignment/>
    </xf>
    <xf numFmtId="166" fontId="3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6" fontId="3" fillId="0" borderId="10" xfId="0" applyNumberFormat="1" applyFont="1" applyFill="1" applyBorder="1" applyAlignment="1">
      <alignment horizontal="center"/>
    </xf>
    <xf numFmtId="166" fontId="3" fillId="0" borderId="0" xfId="0" applyNumberFormat="1" applyFont="1" applyFill="1" applyAlignment="1">
      <alignment/>
    </xf>
    <xf numFmtId="166" fontId="1" fillId="0" borderId="10" xfId="0" applyNumberFormat="1" applyFont="1" applyFill="1" applyBorder="1" applyAlignment="1">
      <alignment/>
    </xf>
    <xf numFmtId="166" fontId="1" fillId="0" borderId="0" xfId="0" applyNumberFormat="1" applyFont="1" applyFill="1" applyAlignment="1">
      <alignment horizontal="center"/>
    </xf>
    <xf numFmtId="166" fontId="1" fillId="0" borderId="0" xfId="0" applyNumberFormat="1" applyFont="1" applyFill="1" applyBorder="1" applyAlignment="1">
      <alignment/>
    </xf>
    <xf numFmtId="166" fontId="3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66" fontId="3" fillId="0" borderId="12" xfId="0" applyNumberFormat="1" applyFont="1" applyFill="1" applyBorder="1" applyAlignment="1">
      <alignment horizontal="center"/>
    </xf>
    <xf numFmtId="166" fontId="1" fillId="0" borderId="0" xfId="0" applyNumberFormat="1" applyFont="1" applyFill="1" applyAlignment="1">
      <alignment horizontal="center" vertical="top"/>
    </xf>
    <xf numFmtId="166" fontId="3" fillId="0" borderId="0" xfId="0" applyNumberFormat="1" applyFont="1" applyFill="1" applyBorder="1" applyAlignment="1">
      <alignment/>
    </xf>
    <xf numFmtId="166" fontId="3" fillId="0" borderId="0" xfId="0" applyNumberFormat="1" applyFont="1" applyFill="1" applyBorder="1" applyAlignment="1">
      <alignment horizontal="center"/>
    </xf>
    <xf numFmtId="166" fontId="3" fillId="0" borderId="0" xfId="0" applyNumberFormat="1" applyFont="1" applyFill="1" applyAlignment="1">
      <alignment vertical="top" wrapText="1"/>
    </xf>
    <xf numFmtId="166" fontId="3" fillId="0" borderId="0" xfId="0" applyNumberFormat="1" applyFont="1" applyFill="1" applyAlignment="1">
      <alignment vertical="top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6" fillId="0" borderId="13" xfId="0" applyFont="1" applyBorder="1" applyAlignment="1">
      <alignment/>
    </xf>
    <xf numFmtId="166" fontId="7" fillId="0" borderId="14" xfId="0" applyNumberFormat="1" applyFont="1" applyFill="1" applyBorder="1" applyAlignment="1">
      <alignment horizontal="right" vertical="top"/>
    </xf>
    <xf numFmtId="166" fontId="5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166" fontId="6" fillId="0" borderId="0" xfId="0" applyNumberFormat="1" applyFont="1" applyBorder="1" applyAlignment="1">
      <alignment horizontal="right" vertical="top"/>
    </xf>
    <xf numFmtId="166" fontId="6" fillId="0" borderId="0" xfId="0" applyNumberFormat="1" applyFont="1" applyFill="1" applyBorder="1" applyAlignment="1">
      <alignment horizontal="right" vertical="top"/>
    </xf>
    <xf numFmtId="167" fontId="6" fillId="0" borderId="15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166" fontId="3" fillId="0" borderId="17" xfId="0" applyNumberFormat="1" applyFont="1" applyFill="1" applyBorder="1" applyAlignment="1">
      <alignment horizontal="center"/>
    </xf>
    <xf numFmtId="166" fontId="3" fillId="0" borderId="18" xfId="0" applyNumberFormat="1" applyFont="1" applyFill="1" applyBorder="1" applyAlignment="1">
      <alignment horizontal="center"/>
    </xf>
    <xf numFmtId="166" fontId="1" fillId="0" borderId="19" xfId="0" applyNumberFormat="1" applyFont="1" applyFill="1" applyBorder="1" applyAlignment="1">
      <alignment/>
    </xf>
    <xf numFmtId="166" fontId="3" fillId="0" borderId="20" xfId="0" applyNumberFormat="1" applyFont="1" applyFill="1" applyBorder="1" applyAlignment="1">
      <alignment horizontal="center"/>
    </xf>
    <xf numFmtId="166" fontId="3" fillId="0" borderId="21" xfId="0" applyNumberFormat="1" applyFont="1" applyFill="1" applyBorder="1" applyAlignment="1">
      <alignment horizontal="center"/>
    </xf>
    <xf numFmtId="166" fontId="1" fillId="0" borderId="22" xfId="0" applyNumberFormat="1" applyFont="1" applyFill="1" applyBorder="1" applyAlignment="1">
      <alignment horizontal="center"/>
    </xf>
    <xf numFmtId="166" fontId="1" fillId="0" borderId="22" xfId="0" applyNumberFormat="1" applyFont="1" applyFill="1" applyBorder="1" applyAlignment="1">
      <alignment/>
    </xf>
    <xf numFmtId="166" fontId="3" fillId="0" borderId="19" xfId="0" applyNumberFormat="1" applyFont="1" applyFill="1" applyBorder="1" applyAlignment="1">
      <alignment horizontal="center"/>
    </xf>
    <xf numFmtId="166" fontId="3" fillId="0" borderId="22" xfId="0" applyNumberFormat="1" applyFont="1" applyFill="1" applyBorder="1" applyAlignment="1">
      <alignment horizontal="center"/>
    </xf>
    <xf numFmtId="166" fontId="4" fillId="0" borderId="17" xfId="0" applyNumberFormat="1" applyFont="1" applyFill="1" applyBorder="1" applyAlignment="1">
      <alignment horizontal="center"/>
    </xf>
    <xf numFmtId="166" fontId="1" fillId="0" borderId="18" xfId="0" applyNumberFormat="1" applyFont="1" applyFill="1" applyBorder="1" applyAlignment="1">
      <alignment/>
    </xf>
    <xf numFmtId="166" fontId="1" fillId="0" borderId="21" xfId="0" applyNumberFormat="1" applyFont="1" applyFill="1" applyBorder="1" applyAlignment="1">
      <alignment/>
    </xf>
    <xf numFmtId="166" fontId="3" fillId="0" borderId="22" xfId="0" applyNumberFormat="1" applyFont="1" applyFill="1" applyBorder="1" applyAlignment="1">
      <alignment/>
    </xf>
    <xf numFmtId="166" fontId="3" fillId="0" borderId="21" xfId="0" applyNumberFormat="1" applyFont="1" applyFill="1" applyBorder="1" applyAlignment="1">
      <alignment/>
    </xf>
    <xf numFmtId="166" fontId="3" fillId="0" borderId="23" xfId="0" applyNumberFormat="1" applyFont="1" applyFill="1" applyBorder="1" applyAlignment="1">
      <alignment/>
    </xf>
    <xf numFmtId="166" fontId="3" fillId="0" borderId="24" xfId="0" applyNumberFormat="1" applyFont="1" applyFill="1" applyBorder="1" applyAlignment="1">
      <alignment/>
    </xf>
    <xf numFmtId="166" fontId="1" fillId="0" borderId="20" xfId="0" applyNumberFormat="1" applyFont="1" applyFill="1" applyBorder="1" applyAlignment="1">
      <alignment horizontal="center"/>
    </xf>
    <xf numFmtId="166" fontId="1" fillId="0" borderId="22" xfId="0" applyNumberFormat="1" applyFont="1" applyFill="1" applyBorder="1" applyAlignment="1">
      <alignment horizontal="right"/>
    </xf>
    <xf numFmtId="0" fontId="6" fillId="0" borderId="25" xfId="0" applyFont="1" applyBorder="1" applyAlignment="1">
      <alignment vertical="top"/>
    </xf>
    <xf numFmtId="166" fontId="4" fillId="0" borderId="20" xfId="0" applyNumberFormat="1" applyFont="1" applyFill="1" applyBorder="1" applyAlignment="1">
      <alignment horizontal="center"/>
    </xf>
    <xf numFmtId="166" fontId="1" fillId="0" borderId="22" xfId="0" applyNumberFormat="1" applyFont="1" applyFill="1" applyBorder="1" applyAlignment="1">
      <alignment/>
    </xf>
    <xf numFmtId="166" fontId="1" fillId="0" borderId="0" xfId="0" applyNumberFormat="1" applyFont="1" applyFill="1" applyAlignment="1">
      <alignment wrapText="1"/>
    </xf>
    <xf numFmtId="166" fontId="1" fillId="0" borderId="0" xfId="0" applyNumberFormat="1" applyFont="1" applyFill="1" applyAlignment="1">
      <alignment/>
    </xf>
    <xf numFmtId="166" fontId="7" fillId="0" borderId="20" xfId="0" applyNumberFormat="1" applyFont="1" applyFill="1" applyBorder="1" applyAlignment="1">
      <alignment horizontal="right" vertical="top"/>
    </xf>
    <xf numFmtId="166" fontId="6" fillId="0" borderId="26" xfId="0" applyNumberFormat="1" applyFont="1" applyFill="1" applyBorder="1" applyAlignment="1">
      <alignment horizontal="right" vertical="top"/>
    </xf>
    <xf numFmtId="166" fontId="1" fillId="0" borderId="14" xfId="0" applyNumberFormat="1" applyFont="1" applyFill="1" applyBorder="1" applyAlignment="1">
      <alignment horizontal="right" vertical="top"/>
    </xf>
    <xf numFmtId="0" fontId="8" fillId="33" borderId="0" xfId="0" applyFont="1" applyFill="1" applyAlignment="1">
      <alignment/>
    </xf>
    <xf numFmtId="0" fontId="0" fillId="0" borderId="0" xfId="0" applyFill="1" applyAlignment="1">
      <alignment vertical="top"/>
    </xf>
    <xf numFmtId="166" fontId="3" fillId="0" borderId="27" xfId="0" applyNumberFormat="1" applyFont="1" applyFill="1" applyBorder="1" applyAlignment="1">
      <alignment/>
    </xf>
    <xf numFmtId="166" fontId="4" fillId="0" borderId="19" xfId="0" applyNumberFormat="1" applyFont="1" applyFill="1" applyBorder="1" applyAlignment="1">
      <alignment horizontal="center"/>
    </xf>
    <xf numFmtId="166" fontId="4" fillId="0" borderId="22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28" xfId="0" applyFont="1" applyFill="1" applyBorder="1" applyAlignment="1">
      <alignment/>
    </xf>
    <xf numFmtId="167" fontId="6" fillId="0" borderId="29" xfId="0" applyNumberFormat="1" applyFont="1" applyBorder="1" applyAlignment="1">
      <alignment horizontal="center" vertical="top" wrapText="1"/>
    </xf>
    <xf numFmtId="166" fontId="7" fillId="0" borderId="30" xfId="0" applyNumberFormat="1" applyFont="1" applyFill="1" applyBorder="1" applyAlignment="1">
      <alignment horizontal="right" vertical="top"/>
    </xf>
    <xf numFmtId="166" fontId="6" fillId="0" borderId="31" xfId="0" applyNumberFormat="1" applyFont="1" applyFill="1" applyBorder="1" applyAlignment="1">
      <alignment horizontal="right" vertical="top"/>
    </xf>
    <xf numFmtId="166" fontId="1" fillId="0" borderId="19" xfId="0" applyNumberFormat="1" applyFont="1" applyFill="1" applyBorder="1" applyAlignment="1">
      <alignment/>
    </xf>
    <xf numFmtId="0" fontId="7" fillId="0" borderId="0" xfId="0" applyFont="1" applyAlignment="1">
      <alignment/>
    </xf>
    <xf numFmtId="166" fontId="1" fillId="0" borderId="0" xfId="0" applyNumberFormat="1" applyFont="1" applyFill="1" applyBorder="1" applyAlignment="1">
      <alignment horizontal="right"/>
    </xf>
    <xf numFmtId="166" fontId="3" fillId="0" borderId="0" xfId="0" applyNumberFormat="1" applyFont="1" applyFill="1" applyAlignment="1">
      <alignment horizontal="center" vertical="top"/>
    </xf>
    <xf numFmtId="166" fontId="1" fillId="0" borderId="21" xfId="0" applyNumberFormat="1" applyFont="1" applyFill="1" applyBorder="1" applyAlignment="1">
      <alignment horizontal="right"/>
    </xf>
    <xf numFmtId="0" fontId="0" fillId="0" borderId="0" xfId="0" applyFill="1" applyAlignment="1">
      <alignment vertical="top" wrapText="1"/>
    </xf>
    <xf numFmtId="0" fontId="1" fillId="0" borderId="0" xfId="0" applyFont="1" applyFill="1" applyAlignment="1" quotePrefix="1">
      <alignment vertical="top" wrapText="1"/>
    </xf>
    <xf numFmtId="0" fontId="0" fillId="0" borderId="0" xfId="0" applyBorder="1" applyAlignment="1">
      <alignment/>
    </xf>
    <xf numFmtId="0" fontId="9" fillId="0" borderId="0" xfId="0" applyFont="1" applyFill="1" applyAlignment="1">
      <alignment horizontal="right"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34" xfId="0" applyFont="1" applyBorder="1" applyAlignment="1">
      <alignment/>
    </xf>
    <xf numFmtId="0" fontId="1" fillId="0" borderId="0" xfId="0" applyFont="1" applyBorder="1" applyAlignment="1">
      <alignment/>
    </xf>
    <xf numFmtId="0" fontId="2" fillId="34" borderId="35" xfId="0" applyFont="1" applyFill="1" applyBorder="1" applyAlignment="1">
      <alignment/>
    </xf>
    <xf numFmtId="0" fontId="1" fillId="0" borderId="36" xfId="0" applyFont="1" applyBorder="1" applyAlignment="1">
      <alignment/>
    </xf>
    <xf numFmtId="0" fontId="1" fillId="0" borderId="35" xfId="0" applyFont="1" applyBorder="1" applyAlignment="1">
      <alignment/>
    </xf>
    <xf numFmtId="0" fontId="3" fillId="0" borderId="35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center"/>
    </xf>
    <xf numFmtId="9" fontId="3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10" fontId="3" fillId="0" borderId="0" xfId="0" applyNumberFormat="1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 horizontal="center"/>
    </xf>
    <xf numFmtId="0" fontId="1" fillId="0" borderId="38" xfId="0" applyFont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39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34" borderId="0" xfId="0" applyFont="1" applyFill="1" applyAlignment="1">
      <alignment/>
    </xf>
    <xf numFmtId="0" fontId="3" fillId="34" borderId="35" xfId="0" applyFont="1" applyFill="1" applyBorder="1" applyAlignment="1">
      <alignment horizontal="left"/>
    </xf>
    <xf numFmtId="0" fontId="1" fillId="0" borderId="36" xfId="0" applyFont="1" applyBorder="1" applyAlignment="1">
      <alignment wrapText="1"/>
    </xf>
    <xf numFmtId="0" fontId="3" fillId="0" borderId="35" xfId="0" applyFont="1" applyBorder="1" applyAlignment="1">
      <alignment horizontal="right"/>
    </xf>
    <xf numFmtId="0" fontId="3" fillId="34" borderId="35" xfId="0" applyFont="1" applyFill="1" applyBorder="1" applyAlignment="1">
      <alignment/>
    </xf>
    <xf numFmtId="0" fontId="3" fillId="34" borderId="35" xfId="0" applyFont="1" applyFill="1" applyBorder="1" applyAlignment="1">
      <alignment wrapText="1"/>
    </xf>
    <xf numFmtId="0" fontId="3" fillId="0" borderId="36" xfId="0" applyFont="1" applyBorder="1" applyAlignment="1">
      <alignment/>
    </xf>
    <xf numFmtId="0" fontId="1" fillId="0" borderId="35" xfId="0" applyFont="1" applyFill="1" applyBorder="1" applyAlignment="1">
      <alignment/>
    </xf>
    <xf numFmtId="0" fontId="1" fillId="0" borderId="36" xfId="0" applyFont="1" applyBorder="1" applyAlignment="1">
      <alignment horizontal="left"/>
    </xf>
    <xf numFmtId="3" fontId="1" fillId="0" borderId="40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166" fontId="1" fillId="0" borderId="40" xfId="0" applyNumberFormat="1" applyFont="1" applyBorder="1" applyAlignment="1">
      <alignment/>
    </xf>
    <xf numFmtId="166" fontId="1" fillId="0" borderId="40" xfId="0" applyNumberFormat="1" applyFont="1" applyFill="1" applyBorder="1" applyAlignment="1">
      <alignment/>
    </xf>
    <xf numFmtId="166" fontId="3" fillId="0" borderId="41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3" fontId="1" fillId="0" borderId="40" xfId="0" applyNumberFormat="1" applyFont="1" applyFill="1" applyBorder="1" applyAlignment="1">
      <alignment/>
    </xf>
    <xf numFmtId="166" fontId="1" fillId="0" borderId="0" xfId="0" applyNumberFormat="1" applyFont="1" applyFill="1" applyAlignment="1">
      <alignment horizontal="left" wrapText="1"/>
    </xf>
    <xf numFmtId="0" fontId="1" fillId="0" borderId="0" xfId="0" applyFont="1" applyFill="1" applyBorder="1" applyAlignment="1">
      <alignment/>
    </xf>
    <xf numFmtId="166" fontId="1" fillId="0" borderId="0" xfId="0" applyNumberFormat="1" applyFont="1" applyFill="1" applyAlignment="1">
      <alignment horizontal="left"/>
    </xf>
    <xf numFmtId="3" fontId="5" fillId="0" borderId="0" xfId="0" applyNumberFormat="1" applyFont="1" applyAlignment="1">
      <alignment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166" fontId="1" fillId="0" borderId="0" xfId="0" applyNumberFormat="1" applyFont="1" applyFill="1" applyAlignment="1">
      <alignment horizontal="center"/>
    </xf>
    <xf numFmtId="166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vertical="top"/>
    </xf>
    <xf numFmtId="166" fontId="5" fillId="0" borderId="0" xfId="0" applyNumberFormat="1" applyFont="1" applyBorder="1" applyAlignment="1">
      <alignment/>
    </xf>
    <xf numFmtId="166" fontId="6" fillId="0" borderId="42" xfId="0" applyNumberFormat="1" applyFont="1" applyBorder="1" applyAlignment="1">
      <alignment/>
    </xf>
    <xf numFmtId="166" fontId="6" fillId="0" borderId="42" xfId="0" applyNumberFormat="1" applyFont="1" applyFill="1" applyBorder="1" applyAlignment="1">
      <alignment/>
    </xf>
    <xf numFmtId="166" fontId="6" fillId="0" borderId="43" xfId="0" applyNumberFormat="1" applyFont="1" applyFill="1" applyBorder="1" applyAlignment="1">
      <alignment/>
    </xf>
    <xf numFmtId="166" fontId="6" fillId="0" borderId="0" xfId="0" applyNumberFormat="1" applyFont="1" applyBorder="1" applyAlignment="1">
      <alignment/>
    </xf>
    <xf numFmtId="166" fontId="6" fillId="0" borderId="0" xfId="0" applyNumberFormat="1" applyFont="1" applyFill="1" applyBorder="1" applyAlignment="1">
      <alignment/>
    </xf>
    <xf numFmtId="166" fontId="6" fillId="0" borderId="44" xfId="0" applyNumberFormat="1" applyFont="1" applyBorder="1" applyAlignment="1">
      <alignment horizontal="center" vertical="top" wrapText="1"/>
    </xf>
    <xf numFmtId="166" fontId="7" fillId="0" borderId="42" xfId="0" applyNumberFormat="1" applyFont="1" applyBorder="1" applyAlignment="1">
      <alignment/>
    </xf>
    <xf numFmtId="166" fontId="7" fillId="0" borderId="42" xfId="0" applyNumberFormat="1" applyFont="1" applyFill="1" applyBorder="1" applyAlignment="1">
      <alignment/>
    </xf>
    <xf numFmtId="166" fontId="7" fillId="0" borderId="43" xfId="0" applyNumberFormat="1" applyFont="1" applyFill="1" applyBorder="1" applyAlignment="1">
      <alignment/>
    </xf>
    <xf numFmtId="166" fontId="7" fillId="0" borderId="26" xfId="0" applyNumberFormat="1" applyFont="1" applyFill="1" applyBorder="1" applyAlignment="1">
      <alignment horizontal="right" vertical="top"/>
    </xf>
    <xf numFmtId="166" fontId="7" fillId="0" borderId="42" xfId="0" applyNumberFormat="1" applyFont="1" applyBorder="1" applyAlignment="1">
      <alignment horizontal="right"/>
    </xf>
    <xf numFmtId="166" fontId="8" fillId="0" borderId="0" xfId="0" applyNumberFormat="1" applyFont="1" applyFill="1" applyAlignment="1">
      <alignment/>
    </xf>
    <xf numFmtId="166" fontId="1" fillId="0" borderId="0" xfId="0" applyNumberFormat="1" applyFont="1" applyFill="1" applyAlignment="1">
      <alignment horizontal="left" wrapText="1"/>
    </xf>
    <xf numFmtId="0" fontId="3" fillId="0" borderId="37" xfId="0" applyFont="1" applyBorder="1" applyAlignment="1">
      <alignment horizontal="right"/>
    </xf>
    <xf numFmtId="3" fontId="1" fillId="0" borderId="38" xfId="0" applyNumberFormat="1" applyFont="1" applyBorder="1" applyAlignment="1">
      <alignment/>
    </xf>
    <xf numFmtId="3" fontId="1" fillId="0" borderId="38" xfId="0" applyNumberFormat="1" applyFont="1" applyFill="1" applyBorder="1" applyAlignment="1">
      <alignment/>
    </xf>
    <xf numFmtId="0" fontId="1" fillId="0" borderId="39" xfId="0" applyFont="1" applyBorder="1" applyAlignment="1">
      <alignment wrapText="1"/>
    </xf>
    <xf numFmtId="3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Border="1" applyAlignment="1">
      <alignment horizontal="right"/>
    </xf>
    <xf numFmtId="0" fontId="1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Border="1" applyAlignment="1">
      <alignment/>
    </xf>
    <xf numFmtId="0" fontId="10" fillId="0" borderId="0" xfId="0" applyFont="1" applyAlignment="1">
      <alignment/>
    </xf>
    <xf numFmtId="0" fontId="10" fillId="0" borderId="32" xfId="0" applyFont="1" applyBorder="1" applyAlignment="1">
      <alignment/>
    </xf>
    <xf numFmtId="0" fontId="10" fillId="0" borderId="33" xfId="0" applyFont="1" applyBorder="1" applyAlignment="1">
      <alignment/>
    </xf>
    <xf numFmtId="0" fontId="10" fillId="0" borderId="33" xfId="0" applyFont="1" applyFill="1" applyBorder="1" applyAlignment="1">
      <alignment/>
    </xf>
    <xf numFmtId="0" fontId="10" fillId="0" borderId="34" xfId="0" applyFont="1" applyBorder="1" applyAlignment="1">
      <alignment/>
    </xf>
    <xf numFmtId="0" fontId="3" fillId="0" borderId="0" xfId="0" applyFont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/>
    </xf>
    <xf numFmtId="166" fontId="1" fillId="0" borderId="0" xfId="0" applyNumberFormat="1" applyFont="1" applyFill="1" applyAlignment="1">
      <alignment horizontal="left" wrapText="1"/>
    </xf>
    <xf numFmtId="0" fontId="0" fillId="0" borderId="0" xfId="0" applyFill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2" fillId="0" borderId="35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="75" zoomScaleNormal="75" zoomScalePageLayoutView="0" workbookViewId="0" topLeftCell="A1">
      <selection activeCell="I15" sqref="I15"/>
    </sheetView>
  </sheetViews>
  <sheetFormatPr defaultColWidth="10.00390625" defaultRowHeight="12.75" customHeight="1"/>
  <cols>
    <col min="1" max="1" width="41.140625" style="19" customWidth="1"/>
    <col min="2" max="2" width="15.7109375" style="24" customWidth="1"/>
    <col min="3" max="3" width="13.8515625" style="24" customWidth="1"/>
    <col min="4" max="4" width="11.8515625" style="24" customWidth="1"/>
    <col min="5" max="5" width="13.57421875" style="24" customWidth="1"/>
    <col min="6" max="6" width="14.140625" style="24" customWidth="1"/>
    <col min="7" max="7" width="13.57421875" style="24" customWidth="1"/>
    <col min="8" max="8" width="14.140625" style="19" bestFit="1" customWidth="1"/>
    <col min="9" max="9" width="14.140625" style="19" customWidth="1"/>
    <col min="10" max="10" width="14.57421875" style="19" bestFit="1" customWidth="1"/>
    <col min="11" max="11" width="12.8515625" style="19" bestFit="1" customWidth="1"/>
    <col min="12" max="12" width="10.00390625" style="19" customWidth="1"/>
    <col min="13" max="13" width="10.140625" style="19" customWidth="1"/>
    <col min="14" max="16384" width="10.00390625" style="19" customWidth="1"/>
  </cols>
  <sheetData>
    <row r="1" spans="1:12" ht="15.75">
      <c r="A1" s="1" t="s">
        <v>55</v>
      </c>
      <c r="B1" s="1"/>
      <c r="C1" s="1"/>
      <c r="D1" s="1"/>
      <c r="E1" s="1"/>
      <c r="F1" s="1"/>
      <c r="G1" s="1"/>
      <c r="L1" s="20"/>
    </row>
    <row r="2" spans="1:12" ht="14.25">
      <c r="A2" s="19" t="s">
        <v>4</v>
      </c>
      <c r="L2" s="20"/>
    </row>
    <row r="3" spans="1:7" ht="15">
      <c r="A3" s="56" t="s">
        <v>32</v>
      </c>
      <c r="B3" s="148"/>
      <c r="C3" s="148"/>
      <c r="D3" s="148"/>
      <c r="E3" s="148"/>
      <c r="F3" s="148"/>
      <c r="G3" s="148"/>
    </row>
    <row r="4" spans="1:11" ht="13.5" customHeight="1" thickBot="1">
      <c r="A4" s="21"/>
      <c r="B4" s="136"/>
      <c r="C4" s="136"/>
      <c r="D4" s="136"/>
      <c r="E4" s="136"/>
      <c r="F4" s="136"/>
      <c r="G4" s="136"/>
      <c r="H4" s="21"/>
      <c r="I4" s="21"/>
      <c r="J4" s="21"/>
      <c r="K4" s="21"/>
    </row>
    <row r="5" spans="1:12" ht="63">
      <c r="A5" s="48" t="s">
        <v>23</v>
      </c>
      <c r="B5" s="142" t="s">
        <v>160</v>
      </c>
      <c r="C5" s="142" t="s">
        <v>168</v>
      </c>
      <c r="D5" s="142" t="s">
        <v>161</v>
      </c>
      <c r="E5" s="142" t="s">
        <v>167</v>
      </c>
      <c r="F5" s="142" t="s">
        <v>162</v>
      </c>
      <c r="G5" s="142" t="s">
        <v>166</v>
      </c>
      <c r="H5" s="28" t="s">
        <v>165</v>
      </c>
      <c r="I5" s="28" t="s">
        <v>171</v>
      </c>
      <c r="J5" s="28" t="s">
        <v>170</v>
      </c>
      <c r="K5" s="64" t="s">
        <v>169</v>
      </c>
      <c r="L5" s="21"/>
    </row>
    <row r="6" spans="1:12" ht="15.75">
      <c r="A6" s="22" t="s">
        <v>25</v>
      </c>
      <c r="B6" s="137">
        <v>373400</v>
      </c>
      <c r="C6" s="147">
        <v>153400</v>
      </c>
      <c r="D6" s="143"/>
      <c r="E6" s="143">
        <v>0</v>
      </c>
      <c r="F6" s="143">
        <v>-100</v>
      </c>
      <c r="G6" s="137">
        <f aca="true" t="shared" si="0" ref="G6:G11">SUM(B6:F6)</f>
        <v>526700</v>
      </c>
      <c r="H6" s="23">
        <f>+'11'!F10</f>
        <v>526700</v>
      </c>
      <c r="I6" s="23">
        <f>+'11'!F12</f>
        <v>24269</v>
      </c>
      <c r="J6" s="23">
        <f>+'11'!F13</f>
        <v>-16497</v>
      </c>
      <c r="K6" s="65">
        <f aca="true" t="shared" si="1" ref="K6:K11">J6-I6</f>
        <v>-40766</v>
      </c>
      <c r="L6" s="21"/>
    </row>
    <row r="7" spans="1:12" ht="15.75">
      <c r="A7" s="62" t="s">
        <v>24</v>
      </c>
      <c r="B7" s="138">
        <v>12051500</v>
      </c>
      <c r="C7" s="144">
        <v>443200</v>
      </c>
      <c r="D7" s="144">
        <f>-99700-11000</f>
        <v>-110700</v>
      </c>
      <c r="E7" s="144">
        <v>-61500</v>
      </c>
      <c r="F7" s="144">
        <v>105200</v>
      </c>
      <c r="G7" s="138">
        <f t="shared" si="0"/>
        <v>12427700</v>
      </c>
      <c r="H7" s="55">
        <f>+'12'!F10</f>
        <v>12427700</v>
      </c>
      <c r="I7" s="55">
        <f>+'12'!F12</f>
        <v>2667977</v>
      </c>
      <c r="J7" s="55">
        <f>+'12'!F13</f>
        <v>2681577</v>
      </c>
      <c r="K7" s="65">
        <f t="shared" si="1"/>
        <v>13600</v>
      </c>
      <c r="L7" s="21"/>
    </row>
    <row r="8" spans="1:12" ht="15.75">
      <c r="A8" s="62" t="s">
        <v>27</v>
      </c>
      <c r="B8" s="138">
        <v>5747000</v>
      </c>
      <c r="C8" s="144">
        <v>205100</v>
      </c>
      <c r="D8" s="144">
        <f>-26200-10100</f>
        <v>-36300</v>
      </c>
      <c r="E8" s="144">
        <v>-6600</v>
      </c>
      <c r="F8" s="144">
        <v>130400</v>
      </c>
      <c r="G8" s="138">
        <f t="shared" si="0"/>
        <v>6039600</v>
      </c>
      <c r="H8" s="23">
        <f>+'13'!F10</f>
        <v>6039600</v>
      </c>
      <c r="I8" s="23">
        <f>+'13'!F12</f>
        <v>4476034</v>
      </c>
      <c r="J8" s="23">
        <f>+'13'!F13</f>
        <v>4229637</v>
      </c>
      <c r="K8" s="65">
        <f t="shared" si="1"/>
        <v>-246397</v>
      </c>
      <c r="L8" s="21"/>
    </row>
    <row r="9" spans="1:12" ht="15.75">
      <c r="A9" s="62" t="s">
        <v>26</v>
      </c>
      <c r="B9" s="138">
        <v>11700</v>
      </c>
      <c r="C9" s="144">
        <v>110900</v>
      </c>
      <c r="D9" s="144">
        <v>0</v>
      </c>
      <c r="E9" s="144">
        <v>-53000</v>
      </c>
      <c r="F9" s="144">
        <v>-15800</v>
      </c>
      <c r="G9" s="138">
        <f t="shared" si="0"/>
        <v>53800</v>
      </c>
      <c r="H9" s="23">
        <f>+'14'!F10</f>
        <v>53800</v>
      </c>
      <c r="I9" s="23">
        <f>+'14'!F12</f>
        <v>-303307</v>
      </c>
      <c r="J9" s="23">
        <f>+'14'!F13</f>
        <v>-353728</v>
      </c>
      <c r="K9" s="65">
        <f t="shared" si="1"/>
        <v>-50421</v>
      </c>
      <c r="L9" s="21"/>
    </row>
    <row r="10" spans="1:12" ht="15.75">
      <c r="A10" s="62" t="s">
        <v>28</v>
      </c>
      <c r="B10" s="138">
        <v>2730900</v>
      </c>
      <c r="C10" s="144">
        <v>32500</v>
      </c>
      <c r="D10" s="144">
        <v>-14200</v>
      </c>
      <c r="E10" s="144">
        <v>-12000</v>
      </c>
      <c r="F10" s="144">
        <v>14100</v>
      </c>
      <c r="G10" s="138">
        <f t="shared" si="0"/>
        <v>2751300</v>
      </c>
      <c r="H10" s="23">
        <f>+'15'!F10</f>
        <v>2751300</v>
      </c>
      <c r="I10" s="23">
        <f>+'15'!F12</f>
        <v>737259</v>
      </c>
      <c r="J10" s="23">
        <f>+'15'!F13</f>
        <v>718003</v>
      </c>
      <c r="K10" s="65">
        <f t="shared" si="1"/>
        <v>-19256</v>
      </c>
      <c r="L10" s="21"/>
    </row>
    <row r="11" spans="1:12" ht="16.5" thickBot="1">
      <c r="A11" s="63" t="s">
        <v>29</v>
      </c>
      <c r="B11" s="139">
        <v>569400</v>
      </c>
      <c r="C11" s="145">
        <v>60500</v>
      </c>
      <c r="D11" s="145">
        <v>-49800</v>
      </c>
      <c r="E11" s="145">
        <v>-12300</v>
      </c>
      <c r="F11" s="145">
        <v>122600</v>
      </c>
      <c r="G11" s="138">
        <f t="shared" si="0"/>
        <v>690400</v>
      </c>
      <c r="H11" s="53">
        <f>+'16'!F10</f>
        <v>690400</v>
      </c>
      <c r="I11" s="53">
        <f>+'16'!F12</f>
        <v>-167793</v>
      </c>
      <c r="J11" s="53">
        <f>+'16'!F13</f>
        <v>-161769</v>
      </c>
      <c r="K11" s="65">
        <f t="shared" si="1"/>
        <v>6024</v>
      </c>
      <c r="L11" s="21"/>
    </row>
    <row r="12" spans="1:12" ht="16.5" thickBot="1">
      <c r="A12" s="29" t="s">
        <v>0</v>
      </c>
      <c r="B12" s="54">
        <f aca="true" t="shared" si="2" ref="B12:G12">SUM(B6:B11)</f>
        <v>21483900</v>
      </c>
      <c r="C12" s="146">
        <f t="shared" si="2"/>
        <v>1005600</v>
      </c>
      <c r="D12" s="146">
        <f>SUM(D6:D11)</f>
        <v>-211000</v>
      </c>
      <c r="E12" s="146">
        <f>SUM(E6:E11)</f>
        <v>-145400</v>
      </c>
      <c r="F12" s="146">
        <f>SUM(F6:F11)</f>
        <v>356400</v>
      </c>
      <c r="G12" s="54">
        <f t="shared" si="2"/>
        <v>22489500</v>
      </c>
      <c r="H12" s="54">
        <f>SUM(H6:H11)</f>
        <v>22489500</v>
      </c>
      <c r="I12" s="54">
        <f>SUM(I6:I11)</f>
        <v>7434439</v>
      </c>
      <c r="J12" s="54">
        <f>SUM(J6:J11)</f>
        <v>7097223</v>
      </c>
      <c r="K12" s="66">
        <f>SUM(K6:K11)</f>
        <v>-337216</v>
      </c>
      <c r="L12" s="21"/>
    </row>
    <row r="13" spans="1:12" ht="15.75">
      <c r="A13" s="25"/>
      <c r="B13" s="140"/>
      <c r="C13" s="140"/>
      <c r="D13" s="140"/>
      <c r="E13" s="140"/>
      <c r="F13" s="140"/>
      <c r="G13" s="140"/>
      <c r="H13" s="27"/>
      <c r="I13" s="27"/>
      <c r="J13" s="27"/>
      <c r="K13" s="27"/>
      <c r="L13" s="21"/>
    </row>
    <row r="14" spans="1:12" ht="15.75">
      <c r="A14" s="25" t="s">
        <v>163</v>
      </c>
      <c r="B14" s="140">
        <v>21483900</v>
      </c>
      <c r="C14" s="140">
        <v>1005600</v>
      </c>
      <c r="D14" s="140">
        <f>-11000-10100-99700-26200-14200-49800</f>
        <v>-211000</v>
      </c>
      <c r="E14" s="140">
        <v>-145400</v>
      </c>
      <c r="F14" s="140">
        <f>G12-SUM(B14:E14)</f>
        <v>356400</v>
      </c>
      <c r="G14" s="140"/>
      <c r="H14" s="27">
        <v>22489500</v>
      </c>
      <c r="I14" s="27">
        <v>7434439</v>
      </c>
      <c r="J14" s="27">
        <v>7097223</v>
      </c>
      <c r="K14" s="27">
        <f>J14-I14</f>
        <v>-337216</v>
      </c>
      <c r="L14" s="21"/>
    </row>
    <row r="15" spans="1:13" ht="15.75">
      <c r="A15" s="25"/>
      <c r="B15" s="140"/>
      <c r="C15" s="140"/>
      <c r="D15" s="140"/>
      <c r="E15" s="140"/>
      <c r="F15" s="140"/>
      <c r="G15" s="140"/>
      <c r="H15" s="26"/>
      <c r="I15" s="26"/>
      <c r="J15" s="27"/>
      <c r="K15" s="26"/>
      <c r="L15" s="21"/>
      <c r="M15" s="24"/>
    </row>
    <row r="16" spans="1:13" ht="15.75">
      <c r="A16" s="19" t="s">
        <v>164</v>
      </c>
      <c r="B16" s="26">
        <f>+B14-B12</f>
        <v>0</v>
      </c>
      <c r="C16" s="26">
        <f>+C14-C12</f>
        <v>0</v>
      </c>
      <c r="D16" s="26">
        <f>+D14-D12</f>
        <v>0</v>
      </c>
      <c r="E16" s="26">
        <f>+E14-E12</f>
        <v>0</v>
      </c>
      <c r="F16" s="26">
        <f>+F14-F12</f>
        <v>0</v>
      </c>
      <c r="H16" s="26">
        <f>+H14-H12</f>
        <v>0</v>
      </c>
      <c r="I16" s="26">
        <f>+I14-I12</f>
        <v>0</v>
      </c>
      <c r="J16" s="26">
        <f>+J14-J12</f>
        <v>0</v>
      </c>
      <c r="K16" s="26">
        <f>+K14-K12</f>
        <v>0</v>
      </c>
      <c r="L16" s="26"/>
      <c r="M16" s="24"/>
    </row>
    <row r="17" spans="1:13" ht="15.75">
      <c r="A17" s="76"/>
      <c r="B17" s="141"/>
      <c r="C17" s="141"/>
      <c r="D17" s="141"/>
      <c r="E17" s="141"/>
      <c r="F17" s="141"/>
      <c r="G17" s="141"/>
      <c r="H17" s="27"/>
      <c r="I17" s="26"/>
      <c r="J17" s="27"/>
      <c r="K17" s="26"/>
      <c r="L17" s="21"/>
      <c r="M17" s="24"/>
    </row>
    <row r="18" spans="1:9" s="68" customFormat="1" ht="15.75">
      <c r="A18" s="76"/>
      <c r="B18" s="141"/>
      <c r="C18" s="141"/>
      <c r="D18" s="141"/>
      <c r="E18" s="141"/>
      <c r="F18" s="141"/>
      <c r="G18" s="141"/>
      <c r="H18" s="130"/>
      <c r="I18" s="131"/>
    </row>
    <row r="19" spans="8:9" ht="12.75" customHeight="1">
      <c r="H19" s="129"/>
      <c r="I19" s="129"/>
    </row>
    <row r="20" spans="8:9" ht="12.75" customHeight="1">
      <c r="H20" s="129"/>
      <c r="I20" s="129"/>
    </row>
    <row r="21" spans="8:9" ht="12.75" customHeight="1">
      <c r="H21" s="129"/>
      <c r="I21" s="129"/>
    </row>
    <row r="22" spans="8:9" ht="12.75" customHeight="1">
      <c r="H22" s="129"/>
      <c r="I22" s="129"/>
    </row>
    <row r="23" spans="8:9" ht="12.75" customHeight="1">
      <c r="H23" s="129"/>
      <c r="I23" s="129"/>
    </row>
    <row r="24" spans="8:9" ht="12.75" customHeight="1">
      <c r="H24" s="129"/>
      <c r="I24" s="129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66" r:id="rId1"/>
  <headerFooter alignWithMargins="0">
    <oddFooter>&amp;L&amp;D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zoomScale="90" zoomScaleNormal="90" zoomScalePageLayoutView="0" workbookViewId="0" topLeftCell="A10">
      <selection activeCell="A31" sqref="A31"/>
    </sheetView>
  </sheetViews>
  <sheetFormatPr defaultColWidth="9.140625" defaultRowHeight="12.75"/>
  <cols>
    <col min="1" max="1" width="43.140625" style="2" customWidth="1"/>
    <col min="2" max="2" width="6.00390625" style="9" customWidth="1"/>
    <col min="3" max="3" width="14.7109375" style="2" customWidth="1"/>
    <col min="4" max="4" width="11.140625" style="2" customWidth="1"/>
    <col min="5" max="5" width="13.140625" style="2" bestFit="1" customWidth="1"/>
    <col min="6" max="6" width="14.140625" style="2" customWidth="1"/>
    <col min="7" max="7" width="11.00390625" style="2" bestFit="1" customWidth="1"/>
    <col min="8" max="9" width="9.140625" style="2" customWidth="1"/>
    <col min="10" max="10" width="10.28125" style="2" customWidth="1"/>
    <col min="11" max="16384" width="9.140625" style="2" customWidth="1"/>
  </cols>
  <sheetData>
    <row r="1" spans="1:7" ht="15.75">
      <c r="A1" s="1" t="s">
        <v>56</v>
      </c>
      <c r="G1" s="3" t="s">
        <v>12</v>
      </c>
    </row>
    <row r="2" ht="15">
      <c r="F2" s="2" t="s">
        <v>4</v>
      </c>
    </row>
    <row r="3" ht="15.75">
      <c r="A3" s="1" t="s">
        <v>18</v>
      </c>
    </row>
    <row r="4" ht="15.75">
      <c r="A4" s="1"/>
    </row>
    <row r="5" ht="15.75">
      <c r="A5" s="1" t="s">
        <v>57</v>
      </c>
    </row>
    <row r="6" spans="2:6" ht="15.75">
      <c r="B6" s="16"/>
      <c r="C6" s="30" t="s">
        <v>20</v>
      </c>
      <c r="D6" s="33" t="s">
        <v>20</v>
      </c>
      <c r="E6" s="13" t="s">
        <v>22</v>
      </c>
      <c r="F6" s="33" t="s">
        <v>0</v>
      </c>
    </row>
    <row r="7" spans="2:6" ht="15.75">
      <c r="B7" s="5"/>
      <c r="C7" s="37" t="s">
        <v>6</v>
      </c>
      <c r="D7" s="38" t="s">
        <v>21</v>
      </c>
      <c r="E7" s="16"/>
      <c r="F7" s="38"/>
    </row>
    <row r="8" spans="2:6" ht="15.75">
      <c r="B8" s="5"/>
      <c r="C8" s="31" t="s">
        <v>5</v>
      </c>
      <c r="D8" s="34" t="s">
        <v>5</v>
      </c>
      <c r="E8" s="6" t="s">
        <v>5</v>
      </c>
      <c r="F8" s="34" t="s">
        <v>5</v>
      </c>
    </row>
    <row r="9" spans="2:6" ht="15.75">
      <c r="B9" s="5"/>
      <c r="C9" s="39"/>
      <c r="D9" s="33"/>
      <c r="E9" s="13"/>
      <c r="F9" s="33"/>
    </row>
    <row r="10" spans="1:6" ht="15.75">
      <c r="A10" s="2" t="s">
        <v>2</v>
      </c>
      <c r="B10" s="5"/>
      <c r="C10" s="32">
        <v>626700</v>
      </c>
      <c r="D10" s="36">
        <v>-100000</v>
      </c>
      <c r="E10" s="10">
        <v>0</v>
      </c>
      <c r="F10" s="42">
        <f>SUM(C10:E10)</f>
        <v>526700</v>
      </c>
    </row>
    <row r="11" spans="2:6" ht="15.75">
      <c r="B11" s="5"/>
      <c r="C11" s="59"/>
      <c r="D11" s="38"/>
      <c r="E11" s="16"/>
      <c r="F11" s="38"/>
    </row>
    <row r="12" spans="1:6" ht="15.75">
      <c r="A12" s="2" t="s">
        <v>34</v>
      </c>
      <c r="B12" s="5"/>
      <c r="C12" s="32">
        <f>149299-25030</f>
        <v>124269</v>
      </c>
      <c r="D12" s="36">
        <v>-100000</v>
      </c>
      <c r="E12" s="10">
        <v>0</v>
      </c>
      <c r="F12" s="42">
        <f>SUM(C12:E12)</f>
        <v>24269</v>
      </c>
    </row>
    <row r="13" spans="1:6" ht="15.75">
      <c r="A13" s="2" t="s">
        <v>31</v>
      </c>
      <c r="C13" s="40">
        <f>-16497-D13</f>
        <v>228953</v>
      </c>
      <c r="D13" s="41">
        <v>-245450</v>
      </c>
      <c r="E13" s="8">
        <v>0</v>
      </c>
      <c r="F13" s="43">
        <f>SUM(C13:E13)</f>
        <v>-16497</v>
      </c>
    </row>
    <row r="14" spans="1:6" ht="16.5" thickBot="1">
      <c r="A14" s="2" t="s">
        <v>7</v>
      </c>
      <c r="C14" s="44">
        <f>+C13-C12</f>
        <v>104684</v>
      </c>
      <c r="D14" s="45">
        <f>+D13-D12</f>
        <v>-145450</v>
      </c>
      <c r="E14" s="11">
        <f>+E13-E12</f>
        <v>0</v>
      </c>
      <c r="F14" s="45">
        <f>+F13-F12</f>
        <v>-40766</v>
      </c>
    </row>
    <row r="15" spans="1:6" ht="16.5" thickTop="1">
      <c r="A15" s="7"/>
      <c r="B15" s="4"/>
      <c r="C15" s="7"/>
      <c r="D15" s="7"/>
      <c r="E15" s="7"/>
      <c r="F15" s="7"/>
    </row>
    <row r="16" spans="1:6" ht="15.75">
      <c r="A16" s="7"/>
      <c r="B16" s="4"/>
      <c r="C16" s="7"/>
      <c r="D16" s="7"/>
      <c r="E16" s="7"/>
      <c r="F16" s="7"/>
    </row>
    <row r="17" spans="1:6" ht="15.75">
      <c r="A17" s="1" t="s">
        <v>35</v>
      </c>
      <c r="C17" s="4"/>
      <c r="D17" s="4"/>
      <c r="E17" s="4"/>
      <c r="F17" s="4"/>
    </row>
    <row r="18" spans="1:5" ht="15.75">
      <c r="A18" s="1"/>
      <c r="C18" s="30" t="s">
        <v>6</v>
      </c>
      <c r="D18" s="33" t="s">
        <v>21</v>
      </c>
      <c r="E18" s="33" t="s">
        <v>30</v>
      </c>
    </row>
    <row r="19" spans="1:5" ht="15.75">
      <c r="A19" s="1"/>
      <c r="C19" s="37" t="s">
        <v>7</v>
      </c>
      <c r="D19" s="38" t="s">
        <v>7</v>
      </c>
      <c r="E19" s="38" t="s">
        <v>7</v>
      </c>
    </row>
    <row r="20" spans="1:5" ht="15" customHeight="1">
      <c r="A20" s="17" t="s">
        <v>9</v>
      </c>
      <c r="B20" s="18" t="s">
        <v>1</v>
      </c>
      <c r="C20" s="34" t="s">
        <v>5</v>
      </c>
      <c r="D20" s="34" t="s">
        <v>5</v>
      </c>
      <c r="E20" s="34" t="s">
        <v>5</v>
      </c>
    </row>
    <row r="21" spans="1:5" ht="15" customHeight="1">
      <c r="A21" s="1"/>
      <c r="B21" s="14"/>
      <c r="C21" s="35"/>
      <c r="D21" s="36"/>
      <c r="E21" s="46"/>
    </row>
    <row r="22" spans="1:5" ht="15" customHeight="1">
      <c r="A22" s="12" t="s">
        <v>25</v>
      </c>
      <c r="B22" s="9">
        <v>1</v>
      </c>
      <c r="C22" s="36">
        <v>-72955</v>
      </c>
      <c r="D22" s="36">
        <v>-61</v>
      </c>
      <c r="E22" s="47">
        <f>SUM(C22:D22)</f>
        <v>-73016</v>
      </c>
    </row>
    <row r="23" spans="1:5" ht="15" customHeight="1">
      <c r="A23" s="12" t="s">
        <v>43</v>
      </c>
      <c r="B23" s="9">
        <v>2</v>
      </c>
      <c r="C23" s="36">
        <f>131098+21511</f>
        <v>152609</v>
      </c>
      <c r="D23" s="36">
        <f>-131098-14291</f>
        <v>-145389</v>
      </c>
      <c r="E23" s="47">
        <f>SUM(C23:D23)</f>
        <v>7220</v>
      </c>
    </row>
    <row r="24" spans="1:5" ht="15" customHeight="1">
      <c r="A24" s="12" t="s">
        <v>19</v>
      </c>
      <c r="C24" s="36">
        <f>C14-SUM(C22:C23)</f>
        <v>25030</v>
      </c>
      <c r="D24" s="36">
        <f>D14+E14-SUM(D22:D23)</f>
        <v>0</v>
      </c>
      <c r="E24" s="47">
        <f>SUM(C24:D24)</f>
        <v>25030</v>
      </c>
    </row>
    <row r="25" spans="1:5" ht="16.5" thickBot="1">
      <c r="A25" s="7" t="s">
        <v>3</v>
      </c>
      <c r="C25" s="44">
        <f>SUM(C22:C24)</f>
        <v>104684</v>
      </c>
      <c r="D25" s="45">
        <f>SUM(D22:D24)</f>
        <v>-145450</v>
      </c>
      <c r="E25" s="58">
        <f>SUM(E22:E24)</f>
        <v>-40766</v>
      </c>
    </row>
    <row r="26" spans="1:7" ht="16.5" thickTop="1">
      <c r="A26" s="7"/>
      <c r="C26" s="15"/>
      <c r="E26" s="15"/>
      <c r="F26" s="15"/>
      <c r="G26" s="15"/>
    </row>
    <row r="27" ht="15.75">
      <c r="A27" s="1" t="s">
        <v>33</v>
      </c>
    </row>
    <row r="28" ht="15">
      <c r="A28" s="2" t="s">
        <v>58</v>
      </c>
    </row>
    <row r="29" ht="15">
      <c r="A29" s="2" t="s">
        <v>59</v>
      </c>
    </row>
    <row r="31" ht="15">
      <c r="A31" s="12" t="s">
        <v>62</v>
      </c>
    </row>
    <row r="32" ht="15">
      <c r="A32" s="2" t="s">
        <v>61</v>
      </c>
    </row>
    <row r="33" ht="15">
      <c r="A33" s="2" t="s">
        <v>60</v>
      </c>
    </row>
    <row r="35" ht="15.75">
      <c r="A35" s="1"/>
    </row>
    <row r="44" ht="15">
      <c r="A44" s="2" t="s">
        <v>4</v>
      </c>
    </row>
  </sheetData>
  <sheetProtection/>
  <printOptions/>
  <pageMargins left="0.75" right="0.75" top="1" bottom="1" header="0.5" footer="0.5"/>
  <pageSetup horizontalDpi="600" verticalDpi="600" orientation="portrait" paperSize="9" scale="75" r:id="rId1"/>
  <headerFooter alignWithMargins="0">
    <oddFooter>&amp;C&amp;"Arial,Bold"&amp;12&amp;A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6"/>
  <sheetViews>
    <sheetView zoomScale="90" zoomScaleNormal="90" zoomScalePageLayoutView="0" workbookViewId="0" topLeftCell="A22">
      <selection activeCell="A37" sqref="A37:F37"/>
    </sheetView>
  </sheetViews>
  <sheetFormatPr defaultColWidth="9.140625" defaultRowHeight="12.75"/>
  <cols>
    <col min="1" max="1" width="43.140625" style="2" customWidth="1"/>
    <col min="2" max="2" width="6.00390625" style="9" customWidth="1"/>
    <col min="3" max="3" width="14.7109375" style="2" customWidth="1"/>
    <col min="4" max="4" width="15.00390625" style="2" customWidth="1"/>
    <col min="5" max="5" width="14.7109375" style="2" customWidth="1"/>
    <col min="6" max="6" width="14.28125" style="2" customWidth="1"/>
    <col min="7" max="7" width="12.00390625" style="2" customWidth="1"/>
    <col min="8" max="8" width="9.7109375" style="2" bestFit="1" customWidth="1"/>
    <col min="9" max="9" width="11.00390625" style="2" bestFit="1" customWidth="1"/>
    <col min="10" max="16384" width="9.140625" style="2" customWidth="1"/>
  </cols>
  <sheetData>
    <row r="1" spans="1:7" ht="15.75">
      <c r="A1" s="1" t="s">
        <v>56</v>
      </c>
      <c r="G1" s="3" t="s">
        <v>13</v>
      </c>
    </row>
    <row r="2" ht="15">
      <c r="F2" s="2" t="s">
        <v>4</v>
      </c>
    </row>
    <row r="3" ht="15.75">
      <c r="A3" s="1" t="s">
        <v>11</v>
      </c>
    </row>
    <row r="4" ht="15.75">
      <c r="A4" s="1"/>
    </row>
    <row r="5" ht="15.75">
      <c r="A5" s="1" t="s">
        <v>57</v>
      </c>
    </row>
    <row r="6" spans="2:6" ht="15.75">
      <c r="B6" s="16"/>
      <c r="C6" s="30" t="s">
        <v>20</v>
      </c>
      <c r="D6" s="33" t="s">
        <v>20</v>
      </c>
      <c r="E6" s="13" t="s">
        <v>22</v>
      </c>
      <c r="F6" s="33" t="s">
        <v>0</v>
      </c>
    </row>
    <row r="7" spans="2:6" ht="15.75">
      <c r="B7" s="5"/>
      <c r="C7" s="37" t="s">
        <v>6</v>
      </c>
      <c r="D7" s="38" t="s">
        <v>21</v>
      </c>
      <c r="E7" s="16"/>
      <c r="F7" s="38"/>
    </row>
    <row r="8" spans="2:6" ht="15.75">
      <c r="B8" s="5"/>
      <c r="C8" s="31" t="s">
        <v>5</v>
      </c>
      <c r="D8" s="34" t="s">
        <v>5</v>
      </c>
      <c r="E8" s="6" t="s">
        <v>5</v>
      </c>
      <c r="F8" s="34" t="s">
        <v>5</v>
      </c>
    </row>
    <row r="9" spans="2:6" ht="15.75">
      <c r="B9" s="5"/>
      <c r="C9" s="49"/>
      <c r="D9" s="13"/>
      <c r="E9" s="33"/>
      <c r="F9" s="33"/>
    </row>
    <row r="10" spans="1:6" ht="15.75">
      <c r="A10" s="2" t="s">
        <v>2</v>
      </c>
      <c r="B10" s="5"/>
      <c r="C10" s="50">
        <f>30406500</f>
        <v>30406500</v>
      </c>
      <c r="D10" s="61">
        <v>-8568100</v>
      </c>
      <c r="E10" s="50">
        <v>-9410700</v>
      </c>
      <c r="F10" s="42">
        <f>SUM(C10:E10)</f>
        <v>12427700</v>
      </c>
    </row>
    <row r="11" spans="2:6" ht="15.75">
      <c r="B11" s="5"/>
      <c r="C11" s="60"/>
      <c r="D11" s="16"/>
      <c r="E11" s="38"/>
      <c r="F11" s="38"/>
    </row>
    <row r="12" spans="1:6" ht="15.75">
      <c r="A12" s="2" t="s">
        <v>34</v>
      </c>
      <c r="B12" s="5"/>
      <c r="C12" s="50">
        <f>7942804+50000</f>
        <v>7992804</v>
      </c>
      <c r="D12" s="61">
        <f>-3429571-50000</f>
        <v>-3479571</v>
      </c>
      <c r="E12" s="50">
        <v>-1845256</v>
      </c>
      <c r="F12" s="42">
        <f>SUM(C12:E12)</f>
        <v>2667977</v>
      </c>
    </row>
    <row r="13" spans="1:6" ht="15.75">
      <c r="A13" s="2" t="s">
        <v>31</v>
      </c>
      <c r="C13" s="41">
        <f>7320199+104828+65841</f>
        <v>7490868</v>
      </c>
      <c r="D13" s="8">
        <f>-2928454-104828-19752</f>
        <v>-3053034</v>
      </c>
      <c r="E13" s="41">
        <v>-1756257</v>
      </c>
      <c r="F13" s="43">
        <f>SUM(C13:E13)</f>
        <v>2681577</v>
      </c>
    </row>
    <row r="14" spans="1:6" ht="16.5" thickBot="1">
      <c r="A14" s="2" t="s">
        <v>7</v>
      </c>
      <c r="C14" s="44">
        <f>+C13-C12</f>
        <v>-501936</v>
      </c>
      <c r="D14" s="45">
        <f>+D13-D12</f>
        <v>426537</v>
      </c>
      <c r="E14" s="11">
        <f>+E13-E12</f>
        <v>88999</v>
      </c>
      <c r="F14" s="45">
        <f>+F13-F12</f>
        <v>13600</v>
      </c>
    </row>
    <row r="15" spans="1:6" ht="16.5" thickTop="1">
      <c r="A15" s="7"/>
      <c r="B15" s="4"/>
      <c r="C15" s="7"/>
      <c r="D15" s="7"/>
      <c r="E15" s="7"/>
      <c r="F15" s="7"/>
    </row>
    <row r="16" spans="1:6" ht="15.75">
      <c r="A16" s="7"/>
      <c r="B16" s="4"/>
      <c r="C16" s="7"/>
      <c r="D16" s="7"/>
      <c r="E16" s="7"/>
      <c r="F16" s="7"/>
    </row>
    <row r="17" spans="1:6" ht="15.75">
      <c r="A17" s="1" t="s">
        <v>35</v>
      </c>
      <c r="C17" s="4"/>
      <c r="D17" s="4"/>
      <c r="E17" s="4"/>
      <c r="F17" s="4"/>
    </row>
    <row r="18" spans="1:5" ht="15.75">
      <c r="A18" s="1"/>
      <c r="C18" s="30" t="s">
        <v>6</v>
      </c>
      <c r="D18" s="33" t="s">
        <v>21</v>
      </c>
      <c r="E18" s="33" t="s">
        <v>30</v>
      </c>
    </row>
    <row r="19" spans="1:5" ht="15.75">
      <c r="A19" s="1"/>
      <c r="C19" s="37" t="s">
        <v>7</v>
      </c>
      <c r="D19" s="38" t="s">
        <v>7</v>
      </c>
      <c r="E19" s="38" t="s">
        <v>7</v>
      </c>
    </row>
    <row r="20" spans="1:5" ht="15" customHeight="1">
      <c r="A20" s="17" t="s">
        <v>9</v>
      </c>
      <c r="B20" s="18" t="s">
        <v>1</v>
      </c>
      <c r="C20" s="34" t="s">
        <v>5</v>
      </c>
      <c r="D20" s="34" t="s">
        <v>5</v>
      </c>
      <c r="E20" s="34" t="s">
        <v>5</v>
      </c>
    </row>
    <row r="21" spans="1:5" ht="15" customHeight="1">
      <c r="A21" s="1"/>
      <c r="B21" s="14"/>
      <c r="C21" s="46"/>
      <c r="E21" s="46"/>
    </row>
    <row r="22" spans="1:5" ht="15" customHeight="1">
      <c r="A22" s="12" t="s">
        <v>38</v>
      </c>
      <c r="B22" s="9">
        <v>1</v>
      </c>
      <c r="C22" s="36">
        <v>-56946</v>
      </c>
      <c r="D22" s="2">
        <f>-4221+94358</f>
        <v>90137</v>
      </c>
      <c r="E22" s="47">
        <f>SUM(C22:D22)</f>
        <v>33191</v>
      </c>
    </row>
    <row r="23" spans="1:5" ht="15" customHeight="1">
      <c r="A23" s="12" t="s">
        <v>150</v>
      </c>
      <c r="B23" s="9">
        <v>2</v>
      </c>
      <c r="C23" s="36">
        <v>6580</v>
      </c>
      <c r="D23" s="2">
        <v>53116</v>
      </c>
      <c r="E23" s="47">
        <f aca="true" t="shared" si="0" ref="E23:E31">SUM(C23:D23)</f>
        <v>59696</v>
      </c>
    </row>
    <row r="24" spans="1:5" ht="15" customHeight="1">
      <c r="A24" s="12" t="s">
        <v>152</v>
      </c>
      <c r="B24" s="9">
        <v>3</v>
      </c>
      <c r="C24" s="36">
        <v>-25849</v>
      </c>
      <c r="D24" s="2">
        <v>-14318</v>
      </c>
      <c r="E24" s="47">
        <f t="shared" si="0"/>
        <v>-40167</v>
      </c>
    </row>
    <row r="25" spans="1:5" ht="15" customHeight="1">
      <c r="A25" s="12" t="s">
        <v>151</v>
      </c>
      <c r="B25" s="9">
        <v>4</v>
      </c>
      <c r="C25" s="36">
        <f>-293581+20569</f>
        <v>-273012</v>
      </c>
      <c r="D25" s="2">
        <v>273494</v>
      </c>
      <c r="E25" s="47">
        <f t="shared" si="0"/>
        <v>482</v>
      </c>
    </row>
    <row r="26" spans="1:5" ht="15" customHeight="1">
      <c r="A26" s="12" t="s">
        <v>42</v>
      </c>
      <c r="B26" s="9">
        <v>5</v>
      </c>
      <c r="C26" s="36">
        <v>-117890</v>
      </c>
      <c r="D26" s="2">
        <v>119683</v>
      </c>
      <c r="E26" s="47">
        <f t="shared" si="0"/>
        <v>1793</v>
      </c>
    </row>
    <row r="27" spans="1:5" ht="15" customHeight="1">
      <c r="A27" s="12" t="s">
        <v>50</v>
      </c>
      <c r="B27" s="9">
        <v>6</v>
      </c>
      <c r="C27" s="36">
        <v>-20569</v>
      </c>
      <c r="D27" s="2">
        <v>0</v>
      </c>
      <c r="E27" s="47">
        <f t="shared" si="0"/>
        <v>-20569</v>
      </c>
    </row>
    <row r="28" spans="1:5" ht="15" customHeight="1">
      <c r="A28" s="12" t="s">
        <v>40</v>
      </c>
      <c r="B28" s="9">
        <v>7</v>
      </c>
      <c r="C28" s="36">
        <v>4637</v>
      </c>
      <c r="D28" s="2">
        <v>73421</v>
      </c>
      <c r="E28" s="47">
        <f t="shared" si="0"/>
        <v>78058</v>
      </c>
    </row>
    <row r="29" spans="1:5" ht="15" customHeight="1">
      <c r="A29" s="12" t="s">
        <v>41</v>
      </c>
      <c r="B29" s="9">
        <v>8</v>
      </c>
      <c r="C29" s="36">
        <v>20105</v>
      </c>
      <c r="D29" s="2">
        <v>-25798</v>
      </c>
      <c r="E29" s="47">
        <f t="shared" si="0"/>
        <v>-5693</v>
      </c>
    </row>
    <row r="30" spans="1:5" ht="15" customHeight="1">
      <c r="A30" s="12" t="s">
        <v>39</v>
      </c>
      <c r="B30" s="9">
        <v>9</v>
      </c>
      <c r="C30" s="36">
        <v>19840</v>
      </c>
      <c r="D30" s="2">
        <v>-33860</v>
      </c>
      <c r="E30" s="47">
        <f t="shared" si="0"/>
        <v>-14020</v>
      </c>
    </row>
    <row r="31" spans="1:5" ht="15" customHeight="1">
      <c r="A31" s="12" t="s">
        <v>19</v>
      </c>
      <c r="C31" s="36">
        <f>C14-SUM(C22:C30)</f>
        <v>-58832</v>
      </c>
      <c r="D31" s="2">
        <f>D14+E14-SUM(D22:D30)</f>
        <v>-20339</v>
      </c>
      <c r="E31" s="47">
        <f t="shared" si="0"/>
        <v>-79171</v>
      </c>
    </row>
    <row r="32" spans="1:5" ht="16.5" thickBot="1">
      <c r="A32" s="7" t="s">
        <v>3</v>
      </c>
      <c r="C32" s="45">
        <f>SUM(C22:C31)</f>
        <v>-501936</v>
      </c>
      <c r="D32" s="45">
        <f>SUM(D22:D31)</f>
        <v>515536</v>
      </c>
      <c r="E32" s="45">
        <f>SUM(E22:E31)</f>
        <v>13600</v>
      </c>
    </row>
    <row r="33" spans="1:6" ht="16.5" thickTop="1">
      <c r="A33" s="7"/>
      <c r="C33" s="10"/>
      <c r="E33" s="15"/>
      <c r="F33" s="15"/>
    </row>
    <row r="34" ht="15.75">
      <c r="A34" s="1" t="s">
        <v>10</v>
      </c>
    </row>
    <row r="35" spans="1:8" ht="15">
      <c r="A35" s="127" t="s">
        <v>173</v>
      </c>
      <c r="B35" s="78"/>
      <c r="C35" s="78"/>
      <c r="D35" s="78"/>
      <c r="E35" s="78"/>
      <c r="F35" s="78"/>
      <c r="G35" s="52"/>
      <c r="H35" s="52"/>
    </row>
    <row r="36" spans="1:8" ht="15">
      <c r="A36" s="127" t="s">
        <v>179</v>
      </c>
      <c r="B36" s="78"/>
      <c r="C36" s="78"/>
      <c r="D36" s="78"/>
      <c r="E36" s="78"/>
      <c r="F36" s="78"/>
      <c r="G36" s="52"/>
      <c r="H36" s="52"/>
    </row>
    <row r="37" spans="1:8" ht="15" customHeight="1">
      <c r="A37" s="172" t="s">
        <v>176</v>
      </c>
      <c r="B37" s="172"/>
      <c r="C37" s="172"/>
      <c r="D37" s="172"/>
      <c r="E37" s="172"/>
      <c r="F37" s="172"/>
      <c r="G37" s="77"/>
      <c r="H37" s="51"/>
    </row>
    <row r="38" spans="1:8" ht="15">
      <c r="A38" s="173" t="s">
        <v>177</v>
      </c>
      <c r="B38" s="173"/>
      <c r="C38" s="173"/>
      <c r="D38" s="173"/>
      <c r="E38" s="173"/>
      <c r="F38" s="173"/>
      <c r="G38" s="51"/>
      <c r="H38" s="51"/>
    </row>
    <row r="39" ht="15">
      <c r="A39" s="128" t="s">
        <v>178</v>
      </c>
    </row>
    <row r="40" ht="15">
      <c r="A40" s="128" t="s">
        <v>52</v>
      </c>
    </row>
    <row r="41" spans="1:6" ht="15" customHeight="1">
      <c r="A41" s="174" t="s">
        <v>51</v>
      </c>
      <c r="B41" s="174"/>
      <c r="C41" s="174"/>
      <c r="D41" s="174"/>
      <c r="E41" s="174"/>
      <c r="F41" s="174"/>
    </row>
    <row r="42" spans="1:6" ht="15">
      <c r="A42" s="128" t="s">
        <v>155</v>
      </c>
      <c r="B42" s="78"/>
      <c r="C42" s="78"/>
      <c r="D42" s="78"/>
      <c r="E42" s="78"/>
      <c r="F42" s="78"/>
    </row>
    <row r="43" spans="1:7" ht="15" customHeight="1">
      <c r="A43" s="174" t="s">
        <v>174</v>
      </c>
      <c r="B43" s="174"/>
      <c r="C43" s="174"/>
      <c r="D43" s="174"/>
      <c r="E43" s="174"/>
      <c r="F43" s="174"/>
      <c r="G43" s="149"/>
    </row>
    <row r="44" spans="1:7" ht="15" customHeight="1">
      <c r="A44" s="174" t="s">
        <v>175</v>
      </c>
      <c r="B44" s="174"/>
      <c r="C44" s="174"/>
      <c r="D44" s="174"/>
      <c r="E44" s="174"/>
      <c r="F44" s="174"/>
      <c r="G44" s="126"/>
    </row>
    <row r="45" spans="1:7" ht="15">
      <c r="A45" s="128" t="s">
        <v>172</v>
      </c>
      <c r="B45" s="126"/>
      <c r="C45" s="126"/>
      <c r="D45" s="126"/>
      <c r="E45" s="126"/>
      <c r="F45" s="126"/>
      <c r="G45" s="126"/>
    </row>
    <row r="46" spans="2:7" ht="15" customHeight="1">
      <c r="B46" s="126"/>
      <c r="C46" s="126"/>
      <c r="D46" s="126"/>
      <c r="E46" s="126"/>
      <c r="F46" s="126"/>
      <c r="G46" s="126"/>
    </row>
  </sheetData>
  <sheetProtection/>
  <mergeCells count="5">
    <mergeCell ref="A37:F37"/>
    <mergeCell ref="A38:F38"/>
    <mergeCell ref="A41:F41"/>
    <mergeCell ref="A44:F44"/>
    <mergeCell ref="A43:F43"/>
  </mergeCells>
  <printOptions/>
  <pageMargins left="0.75" right="0.75" top="1" bottom="1" header="0.5" footer="0.5"/>
  <pageSetup fitToHeight="2" horizontalDpi="600" verticalDpi="600" orientation="portrait" paperSize="9" scale="73" r:id="rId1"/>
  <headerFooter alignWithMargins="0">
    <oddFooter>&amp;C&amp;"Arial,Bold"&amp;12&amp;A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zoomScale="90" zoomScaleNormal="90" zoomScaleSheetLayoutView="85" zoomScalePageLayoutView="0" workbookViewId="0" topLeftCell="A16">
      <selection activeCell="A36" sqref="A36"/>
    </sheetView>
  </sheetViews>
  <sheetFormatPr defaultColWidth="9.140625" defaultRowHeight="12.75"/>
  <cols>
    <col min="1" max="1" width="43.140625" style="2" customWidth="1"/>
    <col min="2" max="2" width="6.00390625" style="9" customWidth="1"/>
    <col min="3" max="3" width="14.7109375" style="2" customWidth="1"/>
    <col min="4" max="4" width="15.00390625" style="2" customWidth="1"/>
    <col min="5" max="5" width="15.140625" style="2" customWidth="1"/>
    <col min="6" max="6" width="13.28125" style="2" customWidth="1"/>
    <col min="7" max="7" width="12.7109375" style="2" customWidth="1"/>
    <col min="8" max="9" width="9.140625" style="2" customWidth="1"/>
    <col min="10" max="10" width="10.28125" style="2" customWidth="1"/>
    <col min="11" max="16384" width="9.140625" style="2" customWidth="1"/>
  </cols>
  <sheetData>
    <row r="1" spans="1:7" ht="15.75">
      <c r="A1" s="1" t="s">
        <v>56</v>
      </c>
      <c r="G1" s="3" t="s">
        <v>14</v>
      </c>
    </row>
    <row r="2" ht="15">
      <c r="F2" s="2" t="s">
        <v>4</v>
      </c>
    </row>
    <row r="3" ht="15.75">
      <c r="A3" s="1" t="s">
        <v>8</v>
      </c>
    </row>
    <row r="4" ht="15.75">
      <c r="A4" s="1"/>
    </row>
    <row r="5" ht="15.75">
      <c r="A5" s="1" t="s">
        <v>57</v>
      </c>
    </row>
    <row r="6" spans="2:6" ht="15.75">
      <c r="B6" s="16"/>
      <c r="C6" s="30" t="s">
        <v>20</v>
      </c>
      <c r="D6" s="33" t="s">
        <v>20</v>
      </c>
      <c r="E6" s="13" t="s">
        <v>22</v>
      </c>
      <c r="F6" s="33" t="s">
        <v>0</v>
      </c>
    </row>
    <row r="7" spans="2:6" ht="15.75">
      <c r="B7" s="5"/>
      <c r="C7" s="37" t="s">
        <v>6</v>
      </c>
      <c r="D7" s="38" t="s">
        <v>21</v>
      </c>
      <c r="E7" s="16"/>
      <c r="F7" s="38"/>
    </row>
    <row r="8" spans="2:6" ht="15.75">
      <c r="B8" s="5"/>
      <c r="C8" s="31" t="s">
        <v>5</v>
      </c>
      <c r="D8" s="34" t="s">
        <v>5</v>
      </c>
      <c r="E8" s="6" t="s">
        <v>5</v>
      </c>
      <c r="F8" s="34" t="s">
        <v>5</v>
      </c>
    </row>
    <row r="9" spans="2:6" ht="15.75">
      <c r="B9" s="5"/>
      <c r="C9" s="39"/>
      <c r="D9" s="33"/>
      <c r="E9" s="13"/>
      <c r="F9" s="33"/>
    </row>
    <row r="10" spans="1:6" ht="15.75">
      <c r="A10" s="2" t="s">
        <v>2</v>
      </c>
      <c r="B10" s="5"/>
      <c r="C10" s="67">
        <v>39984700</v>
      </c>
      <c r="D10" s="50">
        <v>-29748300</v>
      </c>
      <c r="E10" s="61">
        <f>-4196800</f>
        <v>-4196800</v>
      </c>
      <c r="F10" s="42">
        <f>SUM(C10:E10)</f>
        <v>6039600</v>
      </c>
    </row>
    <row r="11" spans="2:6" ht="15.75">
      <c r="B11" s="5"/>
      <c r="C11" s="59"/>
      <c r="D11" s="38"/>
      <c r="E11" s="16"/>
      <c r="F11" s="38"/>
    </row>
    <row r="12" spans="1:6" ht="15.75">
      <c r="A12" s="2" t="s">
        <v>34</v>
      </c>
      <c r="B12" s="5"/>
      <c r="C12" s="32">
        <v>13988400</v>
      </c>
      <c r="D12" s="36">
        <v>-8592533</v>
      </c>
      <c r="E12" s="10">
        <v>-919833</v>
      </c>
      <c r="F12" s="42">
        <f>SUM(C12:E12)</f>
        <v>4476034</v>
      </c>
    </row>
    <row r="13" spans="1:6" ht="15.75">
      <c r="A13" s="2" t="s">
        <v>31</v>
      </c>
      <c r="C13" s="40">
        <f>13954096-73738</f>
        <v>13880358</v>
      </c>
      <c r="D13" s="41">
        <v>-8736234</v>
      </c>
      <c r="E13" s="8">
        <v>-914487</v>
      </c>
      <c r="F13" s="43">
        <f>SUM(C13:E13)</f>
        <v>4229637</v>
      </c>
    </row>
    <row r="14" spans="1:6" ht="16.5" thickBot="1">
      <c r="A14" s="2" t="s">
        <v>7</v>
      </c>
      <c r="C14" s="44">
        <f>+C13-C12</f>
        <v>-108042</v>
      </c>
      <c r="D14" s="45">
        <f>+D13-D12</f>
        <v>-143701</v>
      </c>
      <c r="E14" s="11">
        <f>+E13-E12</f>
        <v>5346</v>
      </c>
      <c r="F14" s="45">
        <f>+F13-F12</f>
        <v>-246397</v>
      </c>
    </row>
    <row r="15" spans="1:6" ht="16.5" thickTop="1">
      <c r="A15" s="7"/>
      <c r="B15" s="4"/>
      <c r="C15" s="7"/>
      <c r="D15" s="7"/>
      <c r="E15" s="7"/>
      <c r="F15" s="7"/>
    </row>
    <row r="16" spans="1:6" ht="15.75">
      <c r="A16" s="7"/>
      <c r="B16" s="4"/>
      <c r="C16" s="7"/>
      <c r="D16" s="7"/>
      <c r="E16" s="7"/>
      <c r="F16" s="7"/>
    </row>
    <row r="17" spans="1:6" ht="15.75">
      <c r="A17" s="1" t="s">
        <v>35</v>
      </c>
      <c r="C17" s="4"/>
      <c r="D17" s="4"/>
      <c r="E17" s="4"/>
      <c r="F17" s="4"/>
    </row>
    <row r="18" spans="1:5" ht="15.75">
      <c r="A18" s="1"/>
      <c r="C18" s="30" t="s">
        <v>6</v>
      </c>
      <c r="D18" s="33" t="s">
        <v>21</v>
      </c>
      <c r="E18" s="33" t="s">
        <v>30</v>
      </c>
    </row>
    <row r="19" spans="1:5" ht="15.75">
      <c r="A19" s="1"/>
      <c r="C19" s="37" t="s">
        <v>7</v>
      </c>
      <c r="D19" s="38" t="s">
        <v>7</v>
      </c>
      <c r="E19" s="38" t="s">
        <v>7</v>
      </c>
    </row>
    <row r="20" spans="1:5" ht="15" customHeight="1">
      <c r="A20" s="17" t="s">
        <v>9</v>
      </c>
      <c r="B20" s="18" t="s">
        <v>1</v>
      </c>
      <c r="C20" s="34" t="s">
        <v>5</v>
      </c>
      <c r="D20" s="34" t="s">
        <v>5</v>
      </c>
      <c r="E20" s="34" t="s">
        <v>5</v>
      </c>
    </row>
    <row r="21" spans="1:5" ht="15" customHeight="1">
      <c r="A21" s="1"/>
      <c r="B21" s="14"/>
      <c r="C21" s="46"/>
      <c r="E21" s="46"/>
    </row>
    <row r="22" spans="1:5" ht="15" customHeight="1">
      <c r="A22" s="12" t="s">
        <v>37</v>
      </c>
      <c r="B22" s="9">
        <v>1</v>
      </c>
      <c r="C22" s="36">
        <f>78063-73738</f>
        <v>4325</v>
      </c>
      <c r="D22" s="2">
        <v>-89117</v>
      </c>
      <c r="E22" s="47">
        <f aca="true" t="shared" si="0" ref="E22:E27">SUM(C22:D22)</f>
        <v>-84792</v>
      </c>
    </row>
    <row r="23" spans="1:5" ht="15" customHeight="1">
      <c r="A23" s="12" t="s">
        <v>54</v>
      </c>
      <c r="B23" s="9">
        <v>2</v>
      </c>
      <c r="C23" s="36">
        <v>-28489</v>
      </c>
      <c r="D23" s="2">
        <v>15593</v>
      </c>
      <c r="E23" s="47">
        <f>SUM(C23:D23)</f>
        <v>-12896</v>
      </c>
    </row>
    <row r="24" spans="1:5" ht="15" customHeight="1">
      <c r="A24" s="12" t="s">
        <v>146</v>
      </c>
      <c r="B24" s="9">
        <v>3</v>
      </c>
      <c r="C24" s="36">
        <v>-468</v>
      </c>
      <c r="D24" s="2">
        <v>-21721</v>
      </c>
      <c r="E24" s="47">
        <f t="shared" si="0"/>
        <v>-22189</v>
      </c>
    </row>
    <row r="25" spans="1:5" ht="15" customHeight="1">
      <c r="A25" s="12" t="s">
        <v>135</v>
      </c>
      <c r="B25" s="9">
        <v>4</v>
      </c>
      <c r="C25" s="36">
        <v>-63838</v>
      </c>
      <c r="D25" s="2">
        <v>-7027</v>
      </c>
      <c r="E25" s="47">
        <f t="shared" si="0"/>
        <v>-70865</v>
      </c>
    </row>
    <row r="26" spans="1:5" ht="15" customHeight="1">
      <c r="A26" s="12" t="s">
        <v>148</v>
      </c>
      <c r="B26" s="9">
        <v>5</v>
      </c>
      <c r="C26" s="36">
        <v>-14530</v>
      </c>
      <c r="D26" s="2">
        <v>-42161</v>
      </c>
      <c r="E26" s="47">
        <f>SUM(C26:D26)</f>
        <v>-56691</v>
      </c>
    </row>
    <row r="27" spans="1:5" ht="15">
      <c r="A27" s="12" t="s">
        <v>19</v>
      </c>
      <c r="B27" s="9" t="s">
        <v>4</v>
      </c>
      <c r="C27" s="41">
        <f>C14-SUM(C22:C26)</f>
        <v>-5042</v>
      </c>
      <c r="D27" s="41">
        <f>D14+E14-SUM(D22:D26)</f>
        <v>6078</v>
      </c>
      <c r="E27" s="71">
        <f t="shared" si="0"/>
        <v>1036</v>
      </c>
    </row>
    <row r="28" spans="1:5" ht="16.5" thickBot="1">
      <c r="A28" s="7" t="s">
        <v>3</v>
      </c>
      <c r="C28" s="45">
        <f>SUM(C22:C27)</f>
        <v>-108042</v>
      </c>
      <c r="D28" s="45">
        <f>SUM(D22:D27)</f>
        <v>-138355</v>
      </c>
      <c r="E28" s="45">
        <f>SUM(E22:E27)</f>
        <v>-246397</v>
      </c>
    </row>
    <row r="29" spans="1:5" ht="16.5" thickTop="1">
      <c r="A29" s="7"/>
      <c r="C29" s="15"/>
      <c r="D29" s="15"/>
      <c r="E29" s="15"/>
    </row>
    <row r="30" ht="15.75">
      <c r="A30" s="1" t="s">
        <v>10</v>
      </c>
    </row>
    <row r="31" spans="1:3" ht="15">
      <c r="A31" s="132" t="s">
        <v>156</v>
      </c>
      <c r="B31" s="133"/>
      <c r="C31" s="134"/>
    </row>
    <row r="32" spans="1:6" ht="15">
      <c r="A32" s="172" t="s">
        <v>154</v>
      </c>
      <c r="B32" s="175"/>
      <c r="C32" s="175"/>
      <c r="D32" s="175"/>
      <c r="E32" s="175"/>
      <c r="F32" s="175"/>
    </row>
    <row r="33" ht="15">
      <c r="A33" s="12" t="s">
        <v>147</v>
      </c>
    </row>
    <row r="34" ht="15">
      <c r="A34" s="2" t="s">
        <v>149</v>
      </c>
    </row>
    <row r="35" ht="15">
      <c r="A35" s="2" t="s">
        <v>180</v>
      </c>
    </row>
    <row r="36" ht="15">
      <c r="A36" s="2" t="s">
        <v>181</v>
      </c>
    </row>
    <row r="38" spans="1:7" ht="15">
      <c r="A38" s="176"/>
      <c r="B38" s="175"/>
      <c r="C38" s="175"/>
      <c r="D38" s="175"/>
      <c r="E38" s="175"/>
      <c r="F38" s="175"/>
      <c r="G38" s="177"/>
    </row>
    <row r="39" ht="15">
      <c r="A39" s="12"/>
    </row>
    <row r="43" ht="15.75">
      <c r="A43" s="1"/>
    </row>
  </sheetData>
  <sheetProtection/>
  <mergeCells count="2">
    <mergeCell ref="A32:F32"/>
    <mergeCell ref="A38:G38"/>
  </mergeCells>
  <printOptions/>
  <pageMargins left="0.75" right="0.75" top="1" bottom="1" header="0.5" footer="0.5"/>
  <pageSetup fitToHeight="1" fitToWidth="1" horizontalDpi="600" verticalDpi="600" orientation="portrait" paperSize="9" scale="73" r:id="rId1"/>
  <headerFooter alignWithMargins="0">
    <oddFooter>&amp;C&amp;"Arial,Bold"&amp;12&amp;A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="90" zoomScaleNormal="90" zoomScalePageLayoutView="0" workbookViewId="0" topLeftCell="A7">
      <selection activeCell="A31" sqref="A31"/>
    </sheetView>
  </sheetViews>
  <sheetFormatPr defaultColWidth="9.140625" defaultRowHeight="12.75"/>
  <cols>
    <col min="1" max="1" width="43.57421875" style="2" customWidth="1"/>
    <col min="2" max="2" width="7.57421875" style="9" customWidth="1"/>
    <col min="3" max="3" width="14.57421875" style="2" bestFit="1" customWidth="1"/>
    <col min="4" max="4" width="12.8515625" style="2" bestFit="1" customWidth="1"/>
    <col min="5" max="5" width="13.140625" style="2" bestFit="1" customWidth="1"/>
    <col min="6" max="6" width="13.28125" style="2" customWidth="1"/>
    <col min="7" max="7" width="11.00390625" style="2" bestFit="1" customWidth="1"/>
    <col min="8" max="9" width="9.140625" style="2" customWidth="1"/>
    <col min="10" max="10" width="10.28125" style="2" customWidth="1"/>
    <col min="11" max="16384" width="9.140625" style="2" customWidth="1"/>
  </cols>
  <sheetData>
    <row r="1" spans="1:7" ht="15.75">
      <c r="A1" s="1" t="s">
        <v>56</v>
      </c>
      <c r="G1" s="3" t="s">
        <v>15</v>
      </c>
    </row>
    <row r="2" ht="15">
      <c r="F2" s="2" t="s">
        <v>4</v>
      </c>
    </row>
    <row r="3" ht="15.75">
      <c r="A3" s="1" t="s">
        <v>44</v>
      </c>
    </row>
    <row r="4" ht="15.75">
      <c r="A4" s="1"/>
    </row>
    <row r="5" ht="15.75">
      <c r="A5" s="1" t="s">
        <v>57</v>
      </c>
    </row>
    <row r="6" spans="2:6" ht="15.75">
      <c r="B6" s="16"/>
      <c r="C6" s="30" t="s">
        <v>20</v>
      </c>
      <c r="D6" s="33" t="s">
        <v>20</v>
      </c>
      <c r="E6" s="13" t="s">
        <v>22</v>
      </c>
      <c r="F6" s="33" t="s">
        <v>0</v>
      </c>
    </row>
    <row r="7" spans="2:6" ht="15.75">
      <c r="B7" s="5"/>
      <c r="C7" s="37" t="s">
        <v>6</v>
      </c>
      <c r="D7" s="38" t="s">
        <v>21</v>
      </c>
      <c r="E7" s="16"/>
      <c r="F7" s="38"/>
    </row>
    <row r="8" spans="2:6" ht="15.75">
      <c r="B8" s="5"/>
      <c r="C8" s="31" t="s">
        <v>5</v>
      </c>
      <c r="D8" s="34" t="s">
        <v>5</v>
      </c>
      <c r="E8" s="6" t="s">
        <v>5</v>
      </c>
      <c r="F8" s="34" t="s">
        <v>5</v>
      </c>
    </row>
    <row r="9" spans="2:6" ht="15.75">
      <c r="B9" s="5"/>
      <c r="C9" s="49"/>
      <c r="D9" s="13"/>
      <c r="E9" s="33"/>
      <c r="F9" s="33"/>
    </row>
    <row r="10" spans="1:6" ht="15.75">
      <c r="A10" s="2" t="s">
        <v>2</v>
      </c>
      <c r="B10" s="5"/>
      <c r="C10" s="47">
        <v>8823500</v>
      </c>
      <c r="D10" s="69">
        <v>-7432000</v>
      </c>
      <c r="E10" s="47">
        <v>-1337700</v>
      </c>
      <c r="F10" s="42">
        <f>SUM(C10:E10)</f>
        <v>53800</v>
      </c>
    </row>
    <row r="11" spans="2:6" ht="15.75">
      <c r="B11" s="5"/>
      <c r="C11" s="60"/>
      <c r="D11" s="16"/>
      <c r="E11" s="38"/>
      <c r="F11" s="38"/>
    </row>
    <row r="12" spans="1:6" ht="15.75">
      <c r="A12" s="2" t="s">
        <v>34</v>
      </c>
      <c r="B12" s="5"/>
      <c r="C12" s="36">
        <v>1989196</v>
      </c>
      <c r="D12" s="10">
        <v>-1957670</v>
      </c>
      <c r="E12" s="36">
        <v>-334833</v>
      </c>
      <c r="F12" s="42">
        <f>SUM(C12:E12)</f>
        <v>-303307</v>
      </c>
    </row>
    <row r="13" spans="1:6" ht="15.75">
      <c r="A13" s="2" t="s">
        <v>31</v>
      </c>
      <c r="C13" s="41">
        <v>2019291</v>
      </c>
      <c r="D13" s="8">
        <v>-2038186</v>
      </c>
      <c r="E13" s="41">
        <v>-334833</v>
      </c>
      <c r="F13" s="43">
        <f>SUM(C13:E13)</f>
        <v>-353728</v>
      </c>
    </row>
    <row r="14" spans="1:6" ht="16.5" thickBot="1">
      <c r="A14" s="2" t="s">
        <v>7</v>
      </c>
      <c r="C14" s="44">
        <f>+C13-C12</f>
        <v>30095</v>
      </c>
      <c r="D14" s="45">
        <f>+D13-D12</f>
        <v>-80516</v>
      </c>
      <c r="E14" s="11">
        <f>+E13-E12</f>
        <v>0</v>
      </c>
      <c r="F14" s="45">
        <f>+F13-F12</f>
        <v>-50421</v>
      </c>
    </row>
    <row r="15" spans="1:6" ht="16.5" thickTop="1">
      <c r="A15" s="7"/>
      <c r="B15" s="4"/>
      <c r="C15" s="7"/>
      <c r="D15" s="7"/>
      <c r="E15" s="7"/>
      <c r="F15" s="7"/>
    </row>
    <row r="16" spans="1:6" ht="15.75">
      <c r="A16" s="7"/>
      <c r="B16" s="4"/>
      <c r="C16" s="7"/>
      <c r="D16" s="7"/>
      <c r="E16" s="7"/>
      <c r="F16" s="7"/>
    </row>
    <row r="17" spans="1:6" ht="15.75">
      <c r="A17" s="1" t="s">
        <v>35</v>
      </c>
      <c r="C17" s="4"/>
      <c r="D17" s="4"/>
      <c r="E17" s="4"/>
      <c r="F17" s="4"/>
    </row>
    <row r="18" spans="1:5" ht="15.75">
      <c r="A18" s="1"/>
      <c r="C18" s="30" t="s">
        <v>6</v>
      </c>
      <c r="D18" s="33" t="s">
        <v>21</v>
      </c>
      <c r="E18" s="33" t="s">
        <v>30</v>
      </c>
    </row>
    <row r="19" spans="1:5" ht="15.75">
      <c r="A19" s="1"/>
      <c r="C19" s="37" t="s">
        <v>7</v>
      </c>
      <c r="D19" s="38" t="s">
        <v>7</v>
      </c>
      <c r="E19" s="38" t="s">
        <v>7</v>
      </c>
    </row>
    <row r="20" spans="1:5" ht="15" customHeight="1">
      <c r="A20" s="17" t="s">
        <v>9</v>
      </c>
      <c r="B20" s="70" t="s">
        <v>1</v>
      </c>
      <c r="C20" s="34" t="s">
        <v>5</v>
      </c>
      <c r="D20" s="34" t="s">
        <v>5</v>
      </c>
      <c r="E20" s="34" t="s">
        <v>5</v>
      </c>
    </row>
    <row r="21" spans="1:5" ht="15" customHeight="1">
      <c r="A21" s="1"/>
      <c r="B21" s="14"/>
      <c r="C21" s="46"/>
      <c r="E21" s="46"/>
    </row>
    <row r="22" spans="1:5" ht="15" customHeight="1">
      <c r="A22" s="12" t="s">
        <v>143</v>
      </c>
      <c r="B22" s="14">
        <v>1</v>
      </c>
      <c r="C22" s="50">
        <v>-20212</v>
      </c>
      <c r="D22" s="2">
        <v>1933</v>
      </c>
      <c r="E22" s="47">
        <f>SUM(C22:D22)</f>
        <v>-18279</v>
      </c>
    </row>
    <row r="23" spans="1:5" ht="15" customHeight="1">
      <c r="A23" s="12" t="s">
        <v>144</v>
      </c>
      <c r="B23" s="14">
        <v>2</v>
      </c>
      <c r="C23" s="50">
        <v>25664</v>
      </c>
      <c r="D23" s="2">
        <v>591</v>
      </c>
      <c r="E23" s="47">
        <f>SUM(C23:D23)</f>
        <v>26255</v>
      </c>
    </row>
    <row r="24" spans="1:5" ht="15" customHeight="1">
      <c r="A24" s="12" t="s">
        <v>19</v>
      </c>
      <c r="B24" s="14"/>
      <c r="C24" s="50">
        <f>C14-SUM(C22:C23)</f>
        <v>24643</v>
      </c>
      <c r="D24" s="2">
        <f>D14+E14-SUM(D22:D23)</f>
        <v>-83040</v>
      </c>
      <c r="E24" s="47">
        <f>SUM(C24:D24)</f>
        <v>-58397</v>
      </c>
    </row>
    <row r="25" spans="1:5" ht="16.5" thickBot="1">
      <c r="A25" s="7" t="s">
        <v>3</v>
      </c>
      <c r="C25" s="45">
        <f>SUM(C22:C24)</f>
        <v>30095</v>
      </c>
      <c r="D25" s="45">
        <f>SUM(D22:D24)</f>
        <v>-80516</v>
      </c>
      <c r="E25" s="45">
        <f>SUM(E22:E24)</f>
        <v>-50421</v>
      </c>
    </row>
    <row r="26" spans="1:6" ht="16.5" thickTop="1">
      <c r="A26" s="7"/>
      <c r="C26" s="15"/>
      <c r="D26" s="15"/>
      <c r="E26" s="15"/>
      <c r="F26" s="15"/>
    </row>
    <row r="27" ht="15.75">
      <c r="A27" s="1" t="s">
        <v>10</v>
      </c>
    </row>
    <row r="28" ht="15">
      <c r="A28" s="12"/>
    </row>
    <row r="29" spans="1:6" ht="15" customHeight="1">
      <c r="A29" s="127" t="s">
        <v>153</v>
      </c>
      <c r="B29" s="77"/>
      <c r="C29" s="77"/>
      <c r="D29" s="77"/>
      <c r="E29" s="77"/>
      <c r="F29" s="77"/>
    </row>
    <row r="30" spans="1:6" ht="15" customHeight="1">
      <c r="A30" s="127" t="s">
        <v>158</v>
      </c>
      <c r="B30" s="77"/>
      <c r="C30" s="77"/>
      <c r="D30" s="77"/>
      <c r="E30" s="77"/>
      <c r="F30" s="77"/>
    </row>
    <row r="31" spans="1:10" ht="15">
      <c r="A31" s="73"/>
      <c r="B31" s="72"/>
      <c r="C31" s="72"/>
      <c r="D31" s="72"/>
      <c r="E31" s="72"/>
      <c r="F31" s="72"/>
      <c r="G31" s="72"/>
      <c r="H31" s="72"/>
      <c r="I31" s="72"/>
      <c r="J31" s="72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75" r:id="rId1"/>
  <headerFooter alignWithMargins="0">
    <oddFooter>&amp;C&amp;"Arial,Bold"&amp;12&amp;A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="90" zoomScaleNormal="90" zoomScalePageLayoutView="0" workbookViewId="0" topLeftCell="A4">
      <selection activeCell="C22" sqref="C22"/>
    </sheetView>
  </sheetViews>
  <sheetFormatPr defaultColWidth="9.140625" defaultRowHeight="12.75"/>
  <cols>
    <col min="1" max="1" width="43.140625" style="2" customWidth="1"/>
    <col min="2" max="2" width="6.00390625" style="9" customWidth="1"/>
    <col min="3" max="3" width="14.7109375" style="2" customWidth="1"/>
    <col min="4" max="4" width="15.00390625" style="2" customWidth="1"/>
    <col min="5" max="5" width="13.8515625" style="2" customWidth="1"/>
    <col min="6" max="6" width="13.28125" style="2" customWidth="1"/>
    <col min="7" max="7" width="11.00390625" style="2" bestFit="1" customWidth="1"/>
    <col min="8" max="9" width="9.140625" style="2" customWidth="1"/>
    <col min="10" max="10" width="10.28125" style="2" customWidth="1"/>
    <col min="11" max="16384" width="9.140625" style="2" customWidth="1"/>
  </cols>
  <sheetData>
    <row r="1" spans="1:7" ht="15.75">
      <c r="A1" s="1" t="s">
        <v>56</v>
      </c>
      <c r="G1" s="3" t="s">
        <v>16</v>
      </c>
    </row>
    <row r="2" ht="15">
      <c r="F2" s="2" t="s">
        <v>4</v>
      </c>
    </row>
    <row r="3" ht="15.75">
      <c r="A3" s="1" t="s">
        <v>45</v>
      </c>
    </row>
    <row r="4" ht="15.75">
      <c r="A4" s="1"/>
    </row>
    <row r="5" ht="15.75">
      <c r="A5" s="1" t="s">
        <v>57</v>
      </c>
    </row>
    <row r="6" spans="2:6" ht="15.75">
      <c r="B6" s="16"/>
      <c r="C6" s="30" t="s">
        <v>20</v>
      </c>
      <c r="D6" s="33" t="s">
        <v>20</v>
      </c>
      <c r="E6" s="13" t="s">
        <v>22</v>
      </c>
      <c r="F6" s="33" t="s">
        <v>0</v>
      </c>
    </row>
    <row r="7" spans="2:6" ht="15.75">
      <c r="B7" s="5"/>
      <c r="C7" s="37" t="s">
        <v>6</v>
      </c>
      <c r="D7" s="38" t="s">
        <v>21</v>
      </c>
      <c r="E7" s="16"/>
      <c r="F7" s="38"/>
    </row>
    <row r="8" spans="2:6" ht="15.75">
      <c r="B8" s="5"/>
      <c r="C8" s="31" t="s">
        <v>5</v>
      </c>
      <c r="D8" s="34" t="s">
        <v>5</v>
      </c>
      <c r="E8" s="6" t="s">
        <v>5</v>
      </c>
      <c r="F8" s="34" t="s">
        <v>5</v>
      </c>
    </row>
    <row r="9" spans="2:6" ht="15.75">
      <c r="B9" s="5"/>
      <c r="C9" s="49"/>
      <c r="D9" s="13"/>
      <c r="E9" s="33"/>
      <c r="F9" s="33"/>
    </row>
    <row r="10" spans="1:6" ht="15.75">
      <c r="A10" s="2" t="s">
        <v>2</v>
      </c>
      <c r="B10" s="5"/>
      <c r="C10" s="50">
        <v>4077500</v>
      </c>
      <c r="D10" s="61">
        <v>-362000</v>
      </c>
      <c r="E10" s="50">
        <v>-964200</v>
      </c>
      <c r="F10" s="42">
        <f>SUM(C10:E10)</f>
        <v>2751300</v>
      </c>
    </row>
    <row r="11" spans="2:6" ht="15.75">
      <c r="B11" s="5"/>
      <c r="C11" s="60"/>
      <c r="D11" s="16"/>
      <c r="E11" s="38"/>
      <c r="F11" s="38"/>
    </row>
    <row r="12" spans="1:6" ht="15.75">
      <c r="A12" s="2" t="s">
        <v>34</v>
      </c>
      <c r="B12" s="5"/>
      <c r="C12" s="36">
        <f>1144468+4465</f>
        <v>1148933</v>
      </c>
      <c r="D12" s="10">
        <f>-165863-4465</f>
        <v>-170328</v>
      </c>
      <c r="E12" s="36">
        <v>-241346</v>
      </c>
      <c r="F12" s="42">
        <f>SUM(C12:E12)</f>
        <v>737259</v>
      </c>
    </row>
    <row r="13" spans="1:6" ht="15.75">
      <c r="A13" s="2" t="s">
        <v>31</v>
      </c>
      <c r="C13" s="41">
        <v>1113420</v>
      </c>
      <c r="D13" s="8">
        <v>-154071</v>
      </c>
      <c r="E13" s="41">
        <v>-241346</v>
      </c>
      <c r="F13" s="43">
        <f>SUM(C13:E13)</f>
        <v>718003</v>
      </c>
    </row>
    <row r="14" spans="1:6" ht="16.5" thickBot="1">
      <c r="A14" s="2" t="s">
        <v>7</v>
      </c>
      <c r="C14" s="44">
        <f>+C13-C12</f>
        <v>-35513</v>
      </c>
      <c r="D14" s="45">
        <f>+D13-D12</f>
        <v>16257</v>
      </c>
      <c r="E14" s="11">
        <f>+E13-E12</f>
        <v>0</v>
      </c>
      <c r="F14" s="45">
        <f>+F13-F12</f>
        <v>-19256</v>
      </c>
    </row>
    <row r="15" spans="1:6" ht="16.5" thickTop="1">
      <c r="A15" s="7"/>
      <c r="B15" s="4"/>
      <c r="C15" s="7"/>
      <c r="D15" s="7"/>
      <c r="E15" s="7"/>
      <c r="F15" s="7"/>
    </row>
    <row r="16" spans="1:6" ht="15.75">
      <c r="A16" s="7"/>
      <c r="B16" s="4"/>
      <c r="C16" s="7"/>
      <c r="D16" s="7"/>
      <c r="E16" s="7"/>
      <c r="F16" s="7"/>
    </row>
    <row r="17" spans="1:6" ht="15.75">
      <c r="A17" s="1" t="s">
        <v>35</v>
      </c>
      <c r="C17" s="4"/>
      <c r="D17" s="4"/>
      <c r="E17" s="4"/>
      <c r="F17" s="4"/>
    </row>
    <row r="18" spans="1:5" ht="15.75">
      <c r="A18" s="1"/>
      <c r="C18" s="30" t="s">
        <v>6</v>
      </c>
      <c r="D18" s="33" t="s">
        <v>21</v>
      </c>
      <c r="E18" s="33" t="s">
        <v>30</v>
      </c>
    </row>
    <row r="19" spans="1:5" ht="15.75">
      <c r="A19" s="1"/>
      <c r="C19" s="37" t="s">
        <v>7</v>
      </c>
      <c r="D19" s="38" t="s">
        <v>7</v>
      </c>
      <c r="E19" s="38" t="s">
        <v>7</v>
      </c>
    </row>
    <row r="20" spans="1:5" ht="15" customHeight="1">
      <c r="A20" s="17" t="s">
        <v>9</v>
      </c>
      <c r="B20" s="18" t="s">
        <v>1</v>
      </c>
      <c r="C20" s="34" t="s">
        <v>5</v>
      </c>
      <c r="D20" s="34" t="s">
        <v>5</v>
      </c>
      <c r="E20" s="34" t="s">
        <v>5</v>
      </c>
    </row>
    <row r="21" spans="1:5" ht="15" customHeight="1">
      <c r="A21" s="1"/>
      <c r="B21" s="14"/>
      <c r="C21" s="46"/>
      <c r="E21" s="46"/>
    </row>
    <row r="22" spans="1:5" ht="15" customHeight="1">
      <c r="A22" s="12" t="s">
        <v>47</v>
      </c>
      <c r="B22" s="9">
        <v>1</v>
      </c>
      <c r="C22" s="36">
        <f>-16669-4465</f>
        <v>-21134</v>
      </c>
      <c r="D22" s="2">
        <f>-5113+4465</f>
        <v>-648</v>
      </c>
      <c r="E22" s="47">
        <f>SUM(C22:D22)</f>
        <v>-21782</v>
      </c>
    </row>
    <row r="23" spans="1:5" ht="15" customHeight="1">
      <c r="A23" s="12" t="s">
        <v>142</v>
      </c>
      <c r="C23" s="36">
        <v>-43</v>
      </c>
      <c r="D23" s="2">
        <v>-161</v>
      </c>
      <c r="E23" s="47">
        <f>SUM(C23:D23)</f>
        <v>-204</v>
      </c>
    </row>
    <row r="24" spans="1:5" ht="15" customHeight="1">
      <c r="A24" s="12" t="s">
        <v>19</v>
      </c>
      <c r="B24" s="9" t="s">
        <v>4</v>
      </c>
      <c r="C24" s="36">
        <f>C14-SUM(C22:C23)</f>
        <v>-14336</v>
      </c>
      <c r="D24" s="2">
        <f>D14+E14-SUM(D22:D23)</f>
        <v>17066</v>
      </c>
      <c r="E24" s="47">
        <f>SUM(C24:D24)</f>
        <v>2730</v>
      </c>
    </row>
    <row r="25" spans="1:5" ht="16.5" thickBot="1">
      <c r="A25" s="7" t="s">
        <v>3</v>
      </c>
      <c r="C25" s="45">
        <f>SUM(C22:C24)</f>
        <v>-35513</v>
      </c>
      <c r="D25" s="45">
        <f>SUM(D22:D24)</f>
        <v>16257</v>
      </c>
      <c r="E25" s="45">
        <f>SUM(E22:E24)</f>
        <v>-19256</v>
      </c>
    </row>
    <row r="26" spans="1:6" ht="16.5" thickTop="1">
      <c r="A26" s="7"/>
      <c r="C26" s="15"/>
      <c r="D26" s="15"/>
      <c r="E26" s="15"/>
      <c r="F26" s="15"/>
    </row>
    <row r="27" ht="15.75">
      <c r="A27" s="1" t="s">
        <v>10</v>
      </c>
    </row>
    <row r="28" ht="15">
      <c r="A28" s="12" t="s">
        <v>145</v>
      </c>
    </row>
    <row r="33" ht="15.75">
      <c r="A33" s="1"/>
    </row>
    <row r="42" ht="15">
      <c r="A42" s="2" t="s">
        <v>4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  <headerFooter alignWithMargins="0">
    <oddFooter>&amp;C&amp;"Arial,Bold"&amp;12&amp;A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9"/>
  <sheetViews>
    <sheetView zoomScale="90" zoomScaleNormal="90" zoomScalePageLayoutView="0" workbookViewId="0" topLeftCell="A1">
      <selection activeCell="A42" sqref="A42"/>
    </sheetView>
  </sheetViews>
  <sheetFormatPr defaultColWidth="9.140625" defaultRowHeight="12.75"/>
  <cols>
    <col min="1" max="1" width="43.140625" style="2" customWidth="1"/>
    <col min="2" max="2" width="6.00390625" style="9" customWidth="1"/>
    <col min="3" max="3" width="15.421875" style="2" customWidth="1"/>
    <col min="4" max="4" width="14.57421875" style="2" customWidth="1"/>
    <col min="5" max="5" width="14.7109375" style="2" customWidth="1"/>
    <col min="6" max="6" width="13.28125" style="2" customWidth="1"/>
    <col min="7" max="8" width="11.00390625" style="2" bestFit="1" customWidth="1"/>
    <col min="9" max="9" width="9.140625" style="2" customWidth="1"/>
    <col min="10" max="10" width="10.28125" style="2" customWidth="1"/>
    <col min="11" max="16384" width="9.140625" style="2" customWidth="1"/>
  </cols>
  <sheetData>
    <row r="1" spans="1:7" ht="15.75">
      <c r="A1" s="1" t="s">
        <v>56</v>
      </c>
      <c r="G1" s="3" t="s">
        <v>17</v>
      </c>
    </row>
    <row r="2" ht="15">
      <c r="F2" s="2" t="s">
        <v>4</v>
      </c>
    </row>
    <row r="3" ht="15.75">
      <c r="A3" s="1" t="s">
        <v>46</v>
      </c>
    </row>
    <row r="4" ht="15.75">
      <c r="A4" s="1"/>
    </row>
    <row r="5" ht="15.75">
      <c r="A5" s="1" t="s">
        <v>57</v>
      </c>
    </row>
    <row r="6" spans="2:6" ht="15.75">
      <c r="B6" s="16"/>
      <c r="C6" s="30" t="s">
        <v>20</v>
      </c>
      <c r="D6" s="33" t="s">
        <v>20</v>
      </c>
      <c r="E6" s="13" t="s">
        <v>22</v>
      </c>
      <c r="F6" s="33" t="s">
        <v>0</v>
      </c>
    </row>
    <row r="7" spans="2:6" ht="15.75">
      <c r="B7" s="5"/>
      <c r="C7" s="37" t="s">
        <v>6</v>
      </c>
      <c r="D7" s="38" t="s">
        <v>21</v>
      </c>
      <c r="E7" s="16"/>
      <c r="F7" s="38"/>
    </row>
    <row r="8" spans="2:6" ht="15.75">
      <c r="B8" s="5"/>
      <c r="C8" s="31" t="s">
        <v>5</v>
      </c>
      <c r="D8" s="34" t="s">
        <v>5</v>
      </c>
      <c r="E8" s="6" t="s">
        <v>5</v>
      </c>
      <c r="F8" s="34" t="s">
        <v>5</v>
      </c>
    </row>
    <row r="9" spans="2:6" ht="15.75">
      <c r="B9" s="5"/>
      <c r="C9" s="49"/>
      <c r="D9" s="33"/>
      <c r="E9" s="13"/>
      <c r="F9" s="33"/>
    </row>
    <row r="10" spans="1:6" ht="15.75">
      <c r="A10" s="2" t="s">
        <v>2</v>
      </c>
      <c r="B10" s="5"/>
      <c r="C10" s="47">
        <v>3046100</v>
      </c>
      <c r="D10" s="47">
        <v>-29700</v>
      </c>
      <c r="E10" s="69">
        <v>-2326000</v>
      </c>
      <c r="F10" s="42">
        <f>SUM(C10:E10)</f>
        <v>690400</v>
      </c>
    </row>
    <row r="11" spans="2:6" ht="15.75">
      <c r="B11" s="5"/>
      <c r="C11" s="60"/>
      <c r="D11" s="38"/>
      <c r="E11" s="16"/>
      <c r="F11" s="38"/>
    </row>
    <row r="12" spans="1:6" ht="15.75">
      <c r="A12" s="2" t="s">
        <v>34</v>
      </c>
      <c r="B12" s="5"/>
      <c r="C12" s="36">
        <v>728940</v>
      </c>
      <c r="D12" s="36">
        <v>-332152</v>
      </c>
      <c r="E12" s="10">
        <v>-564581</v>
      </c>
      <c r="F12" s="42">
        <f>SUM(C12:E12)</f>
        <v>-167793</v>
      </c>
    </row>
    <row r="13" spans="1:6" ht="15.75">
      <c r="A13" s="2" t="s">
        <v>31</v>
      </c>
      <c r="C13" s="41">
        <v>715549</v>
      </c>
      <c r="D13" s="41">
        <v>-338058</v>
      </c>
      <c r="E13" s="8">
        <v>-539260</v>
      </c>
      <c r="F13" s="43">
        <f>SUM(C13:E13)</f>
        <v>-161769</v>
      </c>
    </row>
    <row r="14" spans="1:6" ht="16.5" thickBot="1">
      <c r="A14" s="2" t="s">
        <v>7</v>
      </c>
      <c r="C14" s="44">
        <f>+C13-C12</f>
        <v>-13391</v>
      </c>
      <c r="D14" s="45">
        <f>+D13-D12</f>
        <v>-5906</v>
      </c>
      <c r="E14" s="11">
        <f>+E13-E12</f>
        <v>25321</v>
      </c>
      <c r="F14" s="45">
        <f>+F13-F12</f>
        <v>6024</v>
      </c>
    </row>
    <row r="15" spans="1:6" ht="16.5" thickTop="1">
      <c r="A15" s="7"/>
      <c r="B15" s="4"/>
      <c r="C15" s="7"/>
      <c r="D15" s="7"/>
      <c r="E15" s="7"/>
      <c r="F15" s="7"/>
    </row>
    <row r="16" spans="1:6" ht="15.75">
      <c r="A16" s="7"/>
      <c r="B16" s="4"/>
      <c r="C16" s="7"/>
      <c r="D16" s="7"/>
      <c r="E16" s="7"/>
      <c r="F16" s="7"/>
    </row>
    <row r="17" spans="1:6" ht="15.75">
      <c r="A17" s="1" t="s">
        <v>35</v>
      </c>
      <c r="C17" s="4"/>
      <c r="D17" s="4"/>
      <c r="E17" s="4"/>
      <c r="F17" s="4"/>
    </row>
    <row r="18" spans="1:5" ht="15.75">
      <c r="A18" s="1"/>
      <c r="C18" s="30" t="s">
        <v>6</v>
      </c>
      <c r="D18" s="33" t="s">
        <v>21</v>
      </c>
      <c r="E18" s="33" t="s">
        <v>30</v>
      </c>
    </row>
    <row r="19" spans="1:5" ht="15.75">
      <c r="A19" s="1"/>
      <c r="C19" s="37" t="s">
        <v>7</v>
      </c>
      <c r="D19" s="38" t="s">
        <v>7</v>
      </c>
      <c r="E19" s="38" t="s">
        <v>7</v>
      </c>
    </row>
    <row r="20" spans="1:5" ht="15" customHeight="1">
      <c r="A20" s="17" t="s">
        <v>9</v>
      </c>
      <c r="B20" s="18" t="s">
        <v>1</v>
      </c>
      <c r="C20" s="34" t="s">
        <v>5</v>
      </c>
      <c r="D20" s="34" t="s">
        <v>5</v>
      </c>
      <c r="E20" s="34" t="s">
        <v>5</v>
      </c>
    </row>
    <row r="21" spans="1:5" ht="15" customHeight="1">
      <c r="A21" s="1"/>
      <c r="B21" s="14"/>
      <c r="C21" s="46"/>
      <c r="E21" s="46"/>
    </row>
    <row r="22" spans="1:5" ht="15" customHeight="1">
      <c r="A22" s="12"/>
      <c r="C22" s="36"/>
      <c r="E22" s="47"/>
    </row>
    <row r="23" spans="1:5" ht="15" customHeight="1">
      <c r="A23" s="12" t="s">
        <v>36</v>
      </c>
      <c r="C23" s="36">
        <f>C14-SUM(C21:C22)</f>
        <v>-13391</v>
      </c>
      <c r="D23" s="36">
        <f>D14+E14-SUM(D21:D22)</f>
        <v>19415</v>
      </c>
      <c r="E23" s="47">
        <f>SUM(C23:D23)</f>
        <v>6024</v>
      </c>
    </row>
    <row r="24" spans="1:5" ht="16.5" thickBot="1">
      <c r="A24" s="7" t="s">
        <v>3</v>
      </c>
      <c r="C24" s="45">
        <f>SUM(C22:C23)</f>
        <v>-13391</v>
      </c>
      <c r="D24" s="45">
        <f>SUM(D22:D23)</f>
        <v>19415</v>
      </c>
      <c r="E24" s="45">
        <f>SUM(E22:E23)</f>
        <v>6024</v>
      </c>
    </row>
    <row r="25" spans="1:6" ht="16.5" thickTop="1">
      <c r="A25" s="7"/>
      <c r="C25" s="15"/>
      <c r="D25" s="15"/>
      <c r="E25" s="15"/>
      <c r="F25" s="15"/>
    </row>
    <row r="26" ht="15.75">
      <c r="A26" s="1" t="s">
        <v>10</v>
      </c>
    </row>
    <row r="27" ht="15">
      <c r="A27" s="12" t="s">
        <v>49</v>
      </c>
    </row>
    <row r="28" spans="1:7" ht="15">
      <c r="A28" s="178" t="s">
        <v>48</v>
      </c>
      <c r="B28" s="179"/>
      <c r="C28" s="179"/>
      <c r="D28" s="179"/>
      <c r="E28" s="179"/>
      <c r="F28" s="179"/>
      <c r="G28" s="177"/>
    </row>
    <row r="29" spans="1:6" ht="15">
      <c r="A29" s="135" t="s">
        <v>157</v>
      </c>
      <c r="B29" s="57"/>
      <c r="C29" s="57"/>
      <c r="D29" s="57"/>
      <c r="E29" s="57"/>
      <c r="F29" s="57"/>
    </row>
    <row r="30" ht="15">
      <c r="A30" s="2" t="s">
        <v>159</v>
      </c>
    </row>
    <row r="31" spans="1:6" ht="15">
      <c r="A31" s="57"/>
      <c r="B31" s="57"/>
      <c r="C31" s="57"/>
      <c r="D31" s="57"/>
      <c r="E31" s="57"/>
      <c r="F31" s="57"/>
    </row>
    <row r="32" spans="1:6" ht="15">
      <c r="A32" s="57"/>
      <c r="B32" s="57"/>
      <c r="C32" s="57"/>
      <c r="D32" s="57"/>
      <c r="E32" s="57"/>
      <c r="F32" s="57"/>
    </row>
    <row r="33" spans="1:6" ht="15">
      <c r="A33" s="57"/>
      <c r="B33" s="57"/>
      <c r="C33" s="57"/>
      <c r="D33" s="57"/>
      <c r="E33" s="57"/>
      <c r="F33" s="57"/>
    </row>
    <row r="34" spans="1:6" ht="0.75" customHeight="1">
      <c r="A34" s="57"/>
      <c r="B34" s="57"/>
      <c r="C34" s="57"/>
      <c r="D34" s="57"/>
      <c r="E34" s="57"/>
      <c r="F34" s="57"/>
    </row>
    <row r="39" ht="15">
      <c r="A39" s="2" t="s">
        <v>4</v>
      </c>
    </row>
  </sheetData>
  <sheetProtection/>
  <mergeCells count="1">
    <mergeCell ref="A28:G28"/>
  </mergeCells>
  <printOptions/>
  <pageMargins left="0.75" right="0.75" top="1" bottom="1" header="0.5" footer="0.5"/>
  <pageSetup horizontalDpi="600" verticalDpi="600" orientation="portrait" paperSize="9" scale="73" r:id="rId1"/>
  <headerFooter alignWithMargins="0">
    <oddFooter>&amp;C&amp;"Arial,Bold"&amp;12&amp;A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74"/>
  <sheetViews>
    <sheetView zoomScale="75" zoomScaleNormal="75" zoomScalePageLayoutView="0" workbookViewId="0" topLeftCell="A16">
      <selection activeCell="A42" sqref="A42:IV42"/>
    </sheetView>
  </sheetViews>
  <sheetFormatPr defaultColWidth="9.140625" defaultRowHeight="12.75"/>
  <cols>
    <col min="1" max="1" width="3.8515625" style="79" customWidth="1"/>
    <col min="2" max="2" width="61.8515625" style="79" customWidth="1"/>
    <col min="3" max="3" width="1.7109375" style="107" customWidth="1"/>
    <col min="4" max="4" width="13.421875" style="79" customWidth="1"/>
    <col min="5" max="5" width="12.28125" style="80" customWidth="1"/>
    <col min="6" max="6" width="11.00390625" style="80" bestFit="1" customWidth="1"/>
    <col min="7" max="7" width="12.00390625" style="79" customWidth="1"/>
    <col min="8" max="8" width="1.421875" style="79" customWidth="1"/>
    <col min="9" max="9" width="96.8515625" style="79" customWidth="1"/>
    <col min="10" max="10" width="62.00390625" style="0" customWidth="1"/>
    <col min="11" max="16384" width="9.140625" style="79" customWidth="1"/>
  </cols>
  <sheetData>
    <row r="1" spans="3:9" ht="15.75" thickBot="1">
      <c r="C1" s="79"/>
      <c r="I1" s="75"/>
    </row>
    <row r="2" spans="2:9" ht="15">
      <c r="B2" s="81"/>
      <c r="C2" s="82"/>
      <c r="D2" s="82"/>
      <c r="E2" s="83"/>
      <c r="F2" s="83"/>
      <c r="G2" s="82"/>
      <c r="H2" s="82"/>
      <c r="I2" s="84"/>
    </row>
    <row r="3" spans="2:9" ht="15.75">
      <c r="B3" s="86" t="s">
        <v>63</v>
      </c>
      <c r="C3" s="85"/>
      <c r="D3" s="122" t="s">
        <v>5</v>
      </c>
      <c r="E3" s="12"/>
      <c r="F3" s="12"/>
      <c r="G3" s="85"/>
      <c r="H3" s="85"/>
      <c r="I3" s="87"/>
    </row>
    <row r="4" spans="2:9" ht="15">
      <c r="B4" s="88"/>
      <c r="C4" s="85"/>
      <c r="D4" s="85"/>
      <c r="E4" s="12"/>
      <c r="F4" s="12"/>
      <c r="G4" s="85"/>
      <c r="H4" s="85"/>
      <c r="I4" s="87"/>
    </row>
    <row r="5" spans="2:9" ht="15.75">
      <c r="B5" s="89" t="s">
        <v>64</v>
      </c>
      <c r="C5" s="106"/>
      <c r="D5" s="90">
        <v>32672000</v>
      </c>
      <c r="E5" s="12"/>
      <c r="F5" s="12"/>
      <c r="G5" s="85"/>
      <c r="H5" s="85"/>
      <c r="I5" s="87"/>
    </row>
    <row r="6" spans="2:9" ht="30.75" customHeight="1">
      <c r="B6" s="180" t="s">
        <v>65</v>
      </c>
      <c r="C6" s="181"/>
      <c r="D6" s="181"/>
      <c r="E6" s="181"/>
      <c r="F6" s="92"/>
      <c r="G6" s="85"/>
      <c r="H6" s="85"/>
      <c r="I6" s="87"/>
    </row>
    <row r="7" spans="2:11" ht="15.75">
      <c r="B7" s="88" t="s">
        <v>66</v>
      </c>
      <c r="C7" s="106"/>
      <c r="D7" s="91">
        <f>D5*E7</f>
        <v>980160</v>
      </c>
      <c r="E7" s="93">
        <v>0.03</v>
      </c>
      <c r="F7" s="12"/>
      <c r="G7" s="85"/>
      <c r="H7" s="85"/>
      <c r="I7" s="87"/>
      <c r="J7" s="94"/>
      <c r="K7" s="94"/>
    </row>
    <row r="8" spans="2:11" ht="15.75">
      <c r="B8" s="88" t="s">
        <v>67</v>
      </c>
      <c r="C8" s="106"/>
      <c r="D8" s="91">
        <f>D5*E8</f>
        <v>1992992</v>
      </c>
      <c r="E8" s="96">
        <v>0.061</v>
      </c>
      <c r="F8" s="124" t="s">
        <v>141</v>
      </c>
      <c r="G8" s="85"/>
      <c r="H8" s="85"/>
      <c r="I8" s="95"/>
      <c r="J8" s="94"/>
      <c r="K8" s="94"/>
    </row>
    <row r="9" spans="2:11" ht="15.75">
      <c r="B9" s="88" t="s">
        <v>68</v>
      </c>
      <c r="C9" s="106"/>
      <c r="D9" s="91">
        <f>D5*E9</f>
        <v>3038496</v>
      </c>
      <c r="E9" s="96">
        <v>0.093</v>
      </c>
      <c r="F9" s="12"/>
      <c r="G9" s="85"/>
      <c r="H9" s="85"/>
      <c r="I9" s="95"/>
      <c r="J9" s="94"/>
      <c r="K9" s="94"/>
    </row>
    <row r="10" spans="2:9" ht="15.75" thickBot="1">
      <c r="B10" s="97"/>
      <c r="C10" s="98"/>
      <c r="D10" s="99"/>
      <c r="E10" s="100"/>
      <c r="F10" s="100"/>
      <c r="G10" s="99"/>
      <c r="H10" s="99"/>
      <c r="I10" s="101"/>
    </row>
    <row r="11" spans="2:9" ht="6.75" customHeight="1">
      <c r="B11" s="81"/>
      <c r="C11" s="82"/>
      <c r="D11" s="82"/>
      <c r="E11" s="83"/>
      <c r="F11" s="83"/>
      <c r="G11" s="82"/>
      <c r="H11" s="82"/>
      <c r="I11" s="84"/>
    </row>
    <row r="12" spans="1:9" ht="63">
      <c r="A12" s="85"/>
      <c r="B12" s="88"/>
      <c r="C12" s="85"/>
      <c r="D12" s="102" t="s">
        <v>70</v>
      </c>
      <c r="E12" s="103" t="s">
        <v>71</v>
      </c>
      <c r="F12" s="104" t="s">
        <v>72</v>
      </c>
      <c r="G12" s="104" t="s">
        <v>73</v>
      </c>
      <c r="H12" s="85"/>
      <c r="I12" s="114" t="s">
        <v>74</v>
      </c>
    </row>
    <row r="13" spans="2:9" ht="18" customHeight="1">
      <c r="B13" s="89"/>
      <c r="C13" s="85"/>
      <c r="D13" s="122" t="s">
        <v>5</v>
      </c>
      <c r="E13" s="123" t="s">
        <v>5</v>
      </c>
      <c r="F13" s="123" t="s">
        <v>5</v>
      </c>
      <c r="G13" s="122" t="s">
        <v>5</v>
      </c>
      <c r="H13" s="85"/>
      <c r="I13" s="87"/>
    </row>
    <row r="14" spans="1:9" ht="48.75" customHeight="1">
      <c r="A14" s="85"/>
      <c r="B14" s="113" t="s">
        <v>69</v>
      </c>
      <c r="C14" s="74"/>
      <c r="D14" s="85"/>
      <c r="E14" s="12"/>
      <c r="F14" s="12"/>
      <c r="G14" s="85"/>
      <c r="H14" s="85"/>
      <c r="I14" s="87"/>
    </row>
    <row r="15" spans="2:9" ht="30">
      <c r="B15" s="115" t="s">
        <v>75</v>
      </c>
      <c r="C15" s="85"/>
      <c r="D15" s="91">
        <v>25000</v>
      </c>
      <c r="E15" s="105">
        <v>25000</v>
      </c>
      <c r="F15" s="105">
        <f>E15/100*25</f>
        <v>6250</v>
      </c>
      <c r="G15" s="91">
        <v>8333</v>
      </c>
      <c r="H15" s="85"/>
      <c r="I15" s="110" t="s">
        <v>76</v>
      </c>
    </row>
    <row r="16" spans="2:9" ht="15">
      <c r="B16" s="115" t="s">
        <v>77</v>
      </c>
      <c r="C16" s="85"/>
      <c r="D16" s="91">
        <v>35000</v>
      </c>
      <c r="E16" s="105">
        <v>35000</v>
      </c>
      <c r="F16" s="105">
        <f>E16/100*25</f>
        <v>8750</v>
      </c>
      <c r="G16" s="91">
        <v>8750</v>
      </c>
      <c r="H16" s="85"/>
      <c r="I16" s="87" t="s">
        <v>78</v>
      </c>
    </row>
    <row r="17" spans="2:9" ht="15">
      <c r="B17" s="115" t="s">
        <v>79</v>
      </c>
      <c r="C17" s="85"/>
      <c r="D17" s="91">
        <v>23000</v>
      </c>
      <c r="E17" s="105">
        <v>46000</v>
      </c>
      <c r="F17" s="105">
        <f>E17/100*25</f>
        <v>11500</v>
      </c>
      <c r="G17" s="91">
        <v>11500</v>
      </c>
      <c r="H17" s="85"/>
      <c r="I17" s="87" t="s">
        <v>80</v>
      </c>
    </row>
    <row r="18" spans="2:9" ht="15">
      <c r="B18" s="115" t="s">
        <v>81</v>
      </c>
      <c r="C18" s="85"/>
      <c r="D18" s="91">
        <v>37000</v>
      </c>
      <c r="E18" s="105">
        <v>60000</v>
      </c>
      <c r="F18" s="105">
        <f>E18/100*25</f>
        <v>15000</v>
      </c>
      <c r="G18" s="91">
        <v>47900</v>
      </c>
      <c r="H18" s="85"/>
      <c r="I18" s="110" t="s">
        <v>82</v>
      </c>
    </row>
    <row r="19" spans="2:9" ht="15">
      <c r="B19" s="115" t="s">
        <v>83</v>
      </c>
      <c r="C19" s="85"/>
      <c r="D19" s="91">
        <v>0</v>
      </c>
      <c r="E19" s="105">
        <v>40000</v>
      </c>
      <c r="F19" s="105">
        <f>E19/100*25</f>
        <v>10000</v>
      </c>
      <c r="G19" s="91">
        <v>0</v>
      </c>
      <c r="H19" s="85"/>
      <c r="I19" s="87" t="s">
        <v>84</v>
      </c>
    </row>
    <row r="20" spans="2:9" ht="15">
      <c r="B20" s="115" t="s">
        <v>85</v>
      </c>
      <c r="C20" s="85"/>
      <c r="D20" s="91">
        <v>153000</v>
      </c>
      <c r="E20" s="105">
        <v>440000</v>
      </c>
      <c r="F20" s="105">
        <v>193600</v>
      </c>
      <c r="G20" s="91">
        <v>211000</v>
      </c>
      <c r="H20" s="85"/>
      <c r="I20" s="116" t="s">
        <v>86</v>
      </c>
    </row>
    <row r="21" spans="2:9" ht="15">
      <c r="B21" s="115" t="s">
        <v>87</v>
      </c>
      <c r="C21" s="85"/>
      <c r="D21" s="91">
        <v>206000</v>
      </c>
      <c r="E21" s="105">
        <v>245000</v>
      </c>
      <c r="F21" s="105">
        <f aca="true" t="shared" si="0" ref="F21:F31">E21/100*25</f>
        <v>61250</v>
      </c>
      <c r="G21" s="91">
        <v>61250</v>
      </c>
      <c r="H21" s="85"/>
      <c r="I21" s="87" t="s">
        <v>88</v>
      </c>
    </row>
    <row r="22" spans="2:9" ht="15">
      <c r="B22" s="115" t="s">
        <v>53</v>
      </c>
      <c r="C22" s="85"/>
      <c r="D22" s="91">
        <v>15000</v>
      </c>
      <c r="E22" s="105">
        <v>29000</v>
      </c>
      <c r="F22" s="105">
        <f t="shared" si="0"/>
        <v>7250</v>
      </c>
      <c r="G22" s="91">
        <v>7250</v>
      </c>
      <c r="H22" s="85"/>
      <c r="I22" s="110" t="s">
        <v>89</v>
      </c>
    </row>
    <row r="23" spans="2:9" ht="15">
      <c r="B23" s="115" t="s">
        <v>90</v>
      </c>
      <c r="C23" s="85"/>
      <c r="D23" s="91">
        <v>0</v>
      </c>
      <c r="E23" s="105">
        <v>175000</v>
      </c>
      <c r="F23" s="105">
        <f t="shared" si="0"/>
        <v>43750</v>
      </c>
      <c r="G23" s="91">
        <v>0</v>
      </c>
      <c r="H23" s="85"/>
      <c r="I23" s="110" t="s">
        <v>91</v>
      </c>
    </row>
    <row r="24" spans="2:9" ht="15">
      <c r="B24" s="115" t="s">
        <v>92</v>
      </c>
      <c r="C24" s="85"/>
      <c r="D24" s="91">
        <v>0</v>
      </c>
      <c r="E24" s="105">
        <v>0</v>
      </c>
      <c r="F24" s="105">
        <f t="shared" si="0"/>
        <v>0</v>
      </c>
      <c r="G24" s="91">
        <v>0</v>
      </c>
      <c r="H24" s="85"/>
      <c r="I24" s="110" t="s">
        <v>91</v>
      </c>
    </row>
    <row r="25" spans="2:9" ht="15">
      <c r="B25" s="115" t="s">
        <v>93</v>
      </c>
      <c r="C25" s="85"/>
      <c r="D25" s="91">
        <v>0</v>
      </c>
      <c r="E25" s="105">
        <v>5000</v>
      </c>
      <c r="F25" s="105">
        <f t="shared" si="0"/>
        <v>1250</v>
      </c>
      <c r="G25" s="91">
        <v>0</v>
      </c>
      <c r="H25" s="85"/>
      <c r="I25" s="110" t="s">
        <v>94</v>
      </c>
    </row>
    <row r="26" spans="2:9" ht="15">
      <c r="B26" s="115" t="s">
        <v>95</v>
      </c>
      <c r="C26" s="85"/>
      <c r="D26" s="91">
        <v>0</v>
      </c>
      <c r="E26" s="105">
        <v>7000</v>
      </c>
      <c r="F26" s="105">
        <f t="shared" si="0"/>
        <v>1750</v>
      </c>
      <c r="G26" s="91">
        <v>0</v>
      </c>
      <c r="H26" s="85"/>
      <c r="I26" s="87" t="s">
        <v>96</v>
      </c>
    </row>
    <row r="27" spans="2:9" ht="15">
      <c r="B27" s="115" t="s">
        <v>97</v>
      </c>
      <c r="C27" s="85"/>
      <c r="D27" s="91">
        <v>0</v>
      </c>
      <c r="E27" s="105">
        <v>36000</v>
      </c>
      <c r="F27" s="105">
        <f t="shared" si="0"/>
        <v>9000</v>
      </c>
      <c r="G27" s="91">
        <v>0</v>
      </c>
      <c r="H27" s="85"/>
      <c r="I27" s="87" t="s">
        <v>98</v>
      </c>
    </row>
    <row r="28" spans="2:9" ht="15">
      <c r="B28" s="115" t="s">
        <v>99</v>
      </c>
      <c r="C28" s="85"/>
      <c r="D28" s="91">
        <v>0</v>
      </c>
      <c r="E28" s="105">
        <v>3000</v>
      </c>
      <c r="F28" s="105">
        <f t="shared" si="0"/>
        <v>750</v>
      </c>
      <c r="G28" s="91">
        <v>0</v>
      </c>
      <c r="H28" s="85"/>
      <c r="I28" s="87" t="s">
        <v>100</v>
      </c>
    </row>
    <row r="29" spans="2:9" ht="15">
      <c r="B29" s="115" t="s">
        <v>101</v>
      </c>
      <c r="C29" s="85"/>
      <c r="D29" s="91">
        <v>0</v>
      </c>
      <c r="E29" s="105">
        <v>163000</v>
      </c>
      <c r="F29" s="105">
        <f t="shared" si="0"/>
        <v>40750</v>
      </c>
      <c r="G29" s="91">
        <v>0</v>
      </c>
      <c r="H29" s="85"/>
      <c r="I29" s="87" t="s">
        <v>100</v>
      </c>
    </row>
    <row r="30" spans="1:9" ht="15">
      <c r="A30" s="85"/>
      <c r="B30" s="88" t="s">
        <v>102</v>
      </c>
      <c r="C30" s="106"/>
      <c r="D30" s="85">
        <v>2000</v>
      </c>
      <c r="E30" s="105">
        <v>11000</v>
      </c>
      <c r="F30" s="105">
        <f t="shared" si="0"/>
        <v>2750</v>
      </c>
      <c r="G30" s="91">
        <v>2750</v>
      </c>
      <c r="H30" s="85"/>
      <c r="I30" s="87" t="s">
        <v>103</v>
      </c>
    </row>
    <row r="31" spans="1:9" ht="15">
      <c r="A31" s="85"/>
      <c r="B31" s="115" t="s">
        <v>104</v>
      </c>
      <c r="C31" s="85"/>
      <c r="D31" s="91">
        <v>100000</v>
      </c>
      <c r="E31" s="105">
        <v>100000</v>
      </c>
      <c r="F31" s="105">
        <f t="shared" si="0"/>
        <v>25000</v>
      </c>
      <c r="G31" s="91">
        <v>25000</v>
      </c>
      <c r="H31" s="85"/>
      <c r="I31" s="110" t="s">
        <v>105</v>
      </c>
    </row>
    <row r="32" spans="1:9" ht="15">
      <c r="A32" s="85"/>
      <c r="B32" s="115" t="s">
        <v>106</v>
      </c>
      <c r="C32" s="85"/>
      <c r="D32" s="91">
        <v>499000</v>
      </c>
      <c r="E32" s="105">
        <v>537100</v>
      </c>
      <c r="F32" s="105">
        <v>134437</v>
      </c>
      <c r="G32" s="91">
        <v>145400</v>
      </c>
      <c r="H32" s="85"/>
      <c r="I32" s="87" t="s">
        <v>107</v>
      </c>
    </row>
    <row r="33" spans="1:9" ht="15">
      <c r="A33" s="85"/>
      <c r="B33" s="115" t="s">
        <v>108</v>
      </c>
      <c r="C33" s="85"/>
      <c r="D33" s="91">
        <v>0</v>
      </c>
      <c r="E33" s="105">
        <v>0</v>
      </c>
      <c r="F33" s="105">
        <v>0</v>
      </c>
      <c r="G33" s="91">
        <v>0</v>
      </c>
      <c r="H33" s="85"/>
      <c r="I33" s="87"/>
    </row>
    <row r="34" spans="1:9" ht="8.25" customHeight="1">
      <c r="A34" s="85"/>
      <c r="B34" s="115"/>
      <c r="C34" s="85"/>
      <c r="D34" s="91"/>
      <c r="E34" s="12"/>
      <c r="F34" s="105"/>
      <c r="G34" s="85"/>
      <c r="H34" s="85"/>
      <c r="I34" s="87"/>
    </row>
    <row r="35" spans="1:9" ht="28.5" customHeight="1">
      <c r="A35" s="85"/>
      <c r="B35" s="111" t="s">
        <v>109</v>
      </c>
      <c r="C35" s="85"/>
      <c r="D35" s="117">
        <f>SUM(D15:D32)</f>
        <v>1095000</v>
      </c>
      <c r="E35" s="125">
        <f>SUM(E15:E32)</f>
        <v>1957100</v>
      </c>
      <c r="F35" s="125">
        <f>SUM(F15:F32)</f>
        <v>573037</v>
      </c>
      <c r="G35" s="125">
        <f>SUM(G15:G32)</f>
        <v>529133</v>
      </c>
      <c r="H35" s="85"/>
      <c r="I35" s="110"/>
    </row>
    <row r="36" spans="1:9" ht="12.75" customHeight="1" thickBot="1">
      <c r="A36" s="85"/>
      <c r="B36" s="150"/>
      <c r="C36" s="99"/>
      <c r="D36" s="151"/>
      <c r="E36" s="152"/>
      <c r="F36" s="152"/>
      <c r="G36" s="152"/>
      <c r="H36" s="99"/>
      <c r="I36" s="153"/>
    </row>
    <row r="37" spans="1:9" ht="12.75" customHeight="1">
      <c r="A37" s="85"/>
      <c r="B37" s="156"/>
      <c r="C37" s="85"/>
      <c r="D37" s="91"/>
      <c r="E37" s="105"/>
      <c r="F37" s="105"/>
      <c r="G37" s="105"/>
      <c r="H37" s="85"/>
      <c r="I37" s="157"/>
    </row>
    <row r="38" spans="1:9" ht="12.75" customHeight="1">
      <c r="A38" s="85"/>
      <c r="B38" s="156"/>
      <c r="C38" s="85"/>
      <c r="D38" s="91"/>
      <c r="E38" s="105"/>
      <c r="F38" s="105"/>
      <c r="G38" s="105"/>
      <c r="H38" s="85"/>
      <c r="I38" s="157"/>
    </row>
    <row r="39" spans="1:9" ht="12.75" customHeight="1">
      <c r="A39" s="85"/>
      <c r="B39" s="156"/>
      <c r="C39" s="85"/>
      <c r="D39" s="91"/>
      <c r="E39" s="105"/>
      <c r="F39" s="105"/>
      <c r="G39" s="105"/>
      <c r="H39" s="85"/>
      <c r="I39" s="157"/>
    </row>
    <row r="40" spans="1:9" ht="12.75" customHeight="1">
      <c r="A40" s="85"/>
      <c r="B40" s="156"/>
      <c r="C40" s="85"/>
      <c r="D40" s="91"/>
      <c r="E40" s="105"/>
      <c r="F40" s="105"/>
      <c r="G40" s="105"/>
      <c r="H40" s="85"/>
      <c r="I40" s="157"/>
    </row>
    <row r="41" spans="4:10" s="85" customFormat="1" ht="19.5" customHeight="1">
      <c r="D41" s="91"/>
      <c r="E41" s="105"/>
      <c r="F41" s="154">
        <v>17</v>
      </c>
      <c r="G41" s="91"/>
      <c r="J41" s="74"/>
    </row>
    <row r="42" spans="1:9" ht="33" customHeight="1">
      <c r="A42" s="85"/>
      <c r="B42" s="109" t="s">
        <v>110</v>
      </c>
      <c r="C42" s="85"/>
      <c r="D42" s="118"/>
      <c r="E42" s="10"/>
      <c r="F42" s="10"/>
      <c r="G42" s="118"/>
      <c r="H42" s="118"/>
      <c r="I42" s="87"/>
    </row>
    <row r="43" spans="1:9" ht="15">
      <c r="A43" s="85"/>
      <c r="B43" s="88" t="s">
        <v>111</v>
      </c>
      <c r="C43" s="85"/>
      <c r="D43" s="118">
        <v>0</v>
      </c>
      <c r="E43" s="10">
        <v>0</v>
      </c>
      <c r="F43" s="10">
        <f>E43/100*33.333</f>
        <v>0</v>
      </c>
      <c r="G43" s="118">
        <v>0</v>
      </c>
      <c r="H43" s="118"/>
      <c r="I43" s="110" t="s">
        <v>112</v>
      </c>
    </row>
    <row r="44" spans="1:9" ht="15">
      <c r="A44" s="85"/>
      <c r="B44" s="88" t="s">
        <v>113</v>
      </c>
      <c r="C44" s="85"/>
      <c r="D44" s="118">
        <v>0</v>
      </c>
      <c r="E44" s="10">
        <v>0</v>
      </c>
      <c r="F44" s="10">
        <f>E44/100*33.333</f>
        <v>0</v>
      </c>
      <c r="G44" s="118">
        <v>0</v>
      </c>
      <c r="H44" s="118"/>
      <c r="I44" s="87" t="s">
        <v>114</v>
      </c>
    </row>
    <row r="45" spans="1:9" ht="15">
      <c r="A45" s="85"/>
      <c r="B45" s="88" t="s">
        <v>115</v>
      </c>
      <c r="C45" s="85"/>
      <c r="D45" s="118">
        <v>0</v>
      </c>
      <c r="E45" s="10">
        <v>0</v>
      </c>
      <c r="F45" s="10">
        <f>E45/100*33.333</f>
        <v>0</v>
      </c>
      <c r="G45" s="118">
        <v>0</v>
      </c>
      <c r="H45" s="118"/>
      <c r="I45" s="87" t="s">
        <v>116</v>
      </c>
    </row>
    <row r="46" spans="1:9" ht="15">
      <c r="A46" s="85"/>
      <c r="B46" s="88" t="s">
        <v>117</v>
      </c>
      <c r="C46" s="85"/>
      <c r="D46" s="118">
        <v>25000</v>
      </c>
      <c r="E46" s="10">
        <v>35000</v>
      </c>
      <c r="F46" s="10">
        <f aca="true" t="shared" si="1" ref="F46:F54">E46/100*25</f>
        <v>8750</v>
      </c>
      <c r="G46" s="118">
        <v>8750</v>
      </c>
      <c r="H46" s="118"/>
      <c r="I46" s="87" t="s">
        <v>118</v>
      </c>
    </row>
    <row r="47" spans="1:9" ht="15">
      <c r="A47" s="85"/>
      <c r="B47" s="88" t="s">
        <v>119</v>
      </c>
      <c r="C47" s="85"/>
      <c r="D47" s="118">
        <v>0</v>
      </c>
      <c r="E47" s="10">
        <v>20000</v>
      </c>
      <c r="F47" s="10">
        <f t="shared" si="1"/>
        <v>5000</v>
      </c>
      <c r="G47" s="118">
        <v>0</v>
      </c>
      <c r="H47" s="118"/>
      <c r="I47" s="87" t="s">
        <v>120</v>
      </c>
    </row>
    <row r="48" spans="1:9" ht="15">
      <c r="A48" s="85"/>
      <c r="B48" s="88" t="s">
        <v>121</v>
      </c>
      <c r="C48" s="85"/>
      <c r="D48" s="118">
        <v>0</v>
      </c>
      <c r="E48" s="10">
        <v>107000</v>
      </c>
      <c r="F48" s="10">
        <f t="shared" si="1"/>
        <v>26750</v>
      </c>
      <c r="G48" s="118">
        <v>0</v>
      </c>
      <c r="H48" s="118"/>
      <c r="I48" s="87" t="s">
        <v>122</v>
      </c>
    </row>
    <row r="49" spans="1:9" ht="15">
      <c r="A49" s="85"/>
      <c r="B49" s="88" t="s">
        <v>123</v>
      </c>
      <c r="C49" s="85"/>
      <c r="D49" s="118">
        <v>0</v>
      </c>
      <c r="E49" s="10">
        <v>0</v>
      </c>
      <c r="F49" s="10">
        <f t="shared" si="1"/>
        <v>0</v>
      </c>
      <c r="G49" s="118">
        <v>0</v>
      </c>
      <c r="H49" s="118"/>
      <c r="I49" s="87" t="s">
        <v>124</v>
      </c>
    </row>
    <row r="50" spans="1:9" ht="15">
      <c r="A50" s="85"/>
      <c r="B50" s="88" t="s">
        <v>125</v>
      </c>
      <c r="C50" s="85"/>
      <c r="D50" s="118">
        <v>0</v>
      </c>
      <c r="E50" s="10">
        <v>0</v>
      </c>
      <c r="F50" s="10">
        <f t="shared" si="1"/>
        <v>0</v>
      </c>
      <c r="G50" s="118">
        <v>0</v>
      </c>
      <c r="H50" s="118"/>
      <c r="I50" s="87" t="s">
        <v>126</v>
      </c>
    </row>
    <row r="51" spans="1:9" ht="15">
      <c r="A51" s="85"/>
      <c r="B51" s="88" t="s">
        <v>127</v>
      </c>
      <c r="C51" s="85"/>
      <c r="D51" s="118">
        <v>0</v>
      </c>
      <c r="E51" s="10">
        <v>0</v>
      </c>
      <c r="F51" s="10">
        <f t="shared" si="1"/>
        <v>0</v>
      </c>
      <c r="G51" s="118">
        <v>0</v>
      </c>
      <c r="H51" s="118"/>
      <c r="I51" s="87" t="s">
        <v>126</v>
      </c>
    </row>
    <row r="52" spans="1:9" ht="15">
      <c r="A52" s="85"/>
      <c r="B52" s="88" t="s">
        <v>128</v>
      </c>
      <c r="C52" s="106"/>
      <c r="D52" s="118">
        <v>0</v>
      </c>
      <c r="E52" s="10">
        <v>0</v>
      </c>
      <c r="F52" s="10">
        <f t="shared" si="1"/>
        <v>0</v>
      </c>
      <c r="G52" s="118">
        <v>0</v>
      </c>
      <c r="H52" s="118"/>
      <c r="I52" s="87" t="s">
        <v>129</v>
      </c>
    </row>
    <row r="53" spans="1:9" ht="15">
      <c r="A53" s="85"/>
      <c r="B53" s="88" t="s">
        <v>130</v>
      </c>
      <c r="C53" s="85"/>
      <c r="D53" s="118">
        <v>0</v>
      </c>
      <c r="E53" s="10">
        <v>0</v>
      </c>
      <c r="F53" s="10">
        <f>E53/100*25</f>
        <v>0</v>
      </c>
      <c r="G53" s="118">
        <v>0</v>
      </c>
      <c r="H53" s="118"/>
      <c r="I53" s="87" t="s">
        <v>124</v>
      </c>
    </row>
    <row r="54" spans="1:9" ht="15">
      <c r="A54" s="85"/>
      <c r="B54" s="88" t="s">
        <v>139</v>
      </c>
      <c r="C54" s="85"/>
      <c r="D54" s="118">
        <v>0</v>
      </c>
      <c r="E54" s="10">
        <v>107000</v>
      </c>
      <c r="F54" s="10">
        <f t="shared" si="1"/>
        <v>26750</v>
      </c>
      <c r="G54" s="118">
        <v>26750</v>
      </c>
      <c r="H54" s="118"/>
      <c r="I54" s="87" t="s">
        <v>140</v>
      </c>
    </row>
    <row r="55" spans="1:9" ht="6.75" customHeight="1">
      <c r="A55" s="85"/>
      <c r="B55" s="88"/>
      <c r="C55" s="85"/>
      <c r="D55" s="118"/>
      <c r="E55" s="10"/>
      <c r="F55" s="10"/>
      <c r="G55" s="118"/>
      <c r="H55" s="118"/>
      <c r="I55" s="87"/>
    </row>
    <row r="56" spans="1:9" ht="15.75" customHeight="1">
      <c r="A56" s="85"/>
      <c r="B56" s="111" t="s">
        <v>131</v>
      </c>
      <c r="C56" s="85"/>
      <c r="D56" s="119">
        <f>SUM(D43:D54)</f>
        <v>25000</v>
      </c>
      <c r="E56" s="119">
        <f>SUM(E43:E54)</f>
        <v>269000</v>
      </c>
      <c r="F56" s="119">
        <f>SUM(F43:F54)</f>
        <v>67250</v>
      </c>
      <c r="G56" s="119">
        <f>SUM(G43:G54)</f>
        <v>35500</v>
      </c>
      <c r="H56" s="118"/>
      <c r="I56" s="87"/>
    </row>
    <row r="57" spans="1:17" ht="17.25" customHeight="1">
      <c r="A57" s="85"/>
      <c r="B57" s="88"/>
      <c r="C57" s="85"/>
      <c r="D57" s="118"/>
      <c r="E57" s="10"/>
      <c r="F57" s="10"/>
      <c r="G57" s="118"/>
      <c r="H57" s="118"/>
      <c r="I57" s="87"/>
      <c r="K57" s="85"/>
      <c r="L57" s="85"/>
      <c r="M57" s="85"/>
      <c r="N57" s="85"/>
      <c r="O57" s="85"/>
      <c r="P57" s="85"/>
      <c r="Q57" s="85"/>
    </row>
    <row r="58" spans="1:9" ht="28.5" customHeight="1">
      <c r="A58" s="85"/>
      <c r="B58" s="112" t="s">
        <v>132</v>
      </c>
      <c r="C58" s="85"/>
      <c r="D58" s="118"/>
      <c r="E58" s="10"/>
      <c r="F58" s="10"/>
      <c r="G58" s="118"/>
      <c r="H58" s="85"/>
      <c r="I58" s="87"/>
    </row>
    <row r="59" spans="1:9" ht="15">
      <c r="A59" s="85"/>
      <c r="B59" s="88"/>
      <c r="C59" s="85"/>
      <c r="D59" s="118"/>
      <c r="E59" s="10"/>
      <c r="F59" s="10"/>
      <c r="G59" s="118"/>
      <c r="H59" s="85"/>
      <c r="I59" s="87"/>
    </row>
    <row r="60" spans="1:9" ht="15">
      <c r="A60" s="85"/>
      <c r="B60" s="88" t="s">
        <v>133</v>
      </c>
      <c r="C60" s="106"/>
      <c r="D60" s="118">
        <v>46000</v>
      </c>
      <c r="E60" s="10">
        <v>0</v>
      </c>
      <c r="F60" s="10">
        <f>E60/100*25</f>
        <v>0</v>
      </c>
      <c r="G60" s="118">
        <v>0</v>
      </c>
      <c r="H60" s="85"/>
      <c r="I60" s="87" t="s">
        <v>134</v>
      </c>
    </row>
    <row r="61" spans="1:9" ht="15">
      <c r="A61" s="85"/>
      <c r="B61" s="88" t="s">
        <v>135</v>
      </c>
      <c r="C61" s="106"/>
      <c r="D61" s="118">
        <v>0</v>
      </c>
      <c r="E61" s="10">
        <v>100000</v>
      </c>
      <c r="F61" s="10">
        <f>E61/100*25</f>
        <v>25000</v>
      </c>
      <c r="G61" s="118">
        <v>0</v>
      </c>
      <c r="H61" s="85"/>
      <c r="I61" s="87" t="s">
        <v>134</v>
      </c>
    </row>
    <row r="62" spans="1:9" ht="9" customHeight="1">
      <c r="A62" s="85"/>
      <c r="B62" s="88"/>
      <c r="C62" s="106"/>
      <c r="D62" s="118"/>
      <c r="E62" s="10"/>
      <c r="F62" s="10"/>
      <c r="G62" s="118"/>
      <c r="H62" s="85"/>
      <c r="I62" s="87"/>
    </row>
    <row r="63" spans="1:9" ht="15.75">
      <c r="A63" s="85"/>
      <c r="B63" s="111" t="s">
        <v>136</v>
      </c>
      <c r="C63" s="106"/>
      <c r="D63" s="119">
        <f>SUM(D60:D61)</f>
        <v>46000</v>
      </c>
      <c r="E63" s="120">
        <f>SUM(E60:E61)</f>
        <v>100000</v>
      </c>
      <c r="F63" s="120">
        <f>SUM(F60:F61)</f>
        <v>25000</v>
      </c>
      <c r="G63" s="120">
        <f>SUM(G60:G61)</f>
        <v>0</v>
      </c>
      <c r="H63" s="85"/>
      <c r="I63" s="87"/>
    </row>
    <row r="64" spans="1:9" ht="15">
      <c r="A64" s="85"/>
      <c r="B64" s="88"/>
      <c r="C64" s="106"/>
      <c r="D64" s="118"/>
      <c r="E64" s="10"/>
      <c r="F64" s="10"/>
      <c r="G64" s="118"/>
      <c r="H64" s="85"/>
      <c r="I64" s="87"/>
    </row>
    <row r="65" spans="1:9" ht="7.5" customHeight="1">
      <c r="A65" s="85"/>
      <c r="B65" s="89"/>
      <c r="C65" s="106"/>
      <c r="D65" s="118"/>
      <c r="E65" s="10"/>
      <c r="F65" s="10"/>
      <c r="G65" s="118"/>
      <c r="H65" s="85"/>
      <c r="I65" s="87"/>
    </row>
    <row r="66" spans="1:9" ht="27" customHeight="1" thickBot="1">
      <c r="A66" s="85"/>
      <c r="B66" s="112" t="s">
        <v>137</v>
      </c>
      <c r="C66" s="106"/>
      <c r="D66" s="121">
        <f>D35+D56+D63</f>
        <v>1166000</v>
      </c>
      <c r="E66" s="121">
        <f>E35+E56+E63</f>
        <v>2326100</v>
      </c>
      <c r="F66" s="121">
        <f>F35+F56+F63</f>
        <v>665287</v>
      </c>
      <c r="G66" s="121">
        <f>G35+G56+G63</f>
        <v>564633</v>
      </c>
      <c r="H66" s="85"/>
      <c r="I66" s="87"/>
    </row>
    <row r="67" spans="1:9" ht="15">
      <c r="A67" s="85"/>
      <c r="B67" s="88"/>
      <c r="C67" s="106"/>
      <c r="D67" s="118"/>
      <c r="E67" s="10"/>
      <c r="F67" s="10"/>
      <c r="G67" s="118"/>
      <c r="H67" s="85"/>
      <c r="I67" s="87"/>
    </row>
    <row r="68" spans="1:9" ht="15">
      <c r="A68" s="85"/>
      <c r="B68" s="88"/>
      <c r="C68" s="106"/>
      <c r="D68" s="118"/>
      <c r="E68" s="10"/>
      <c r="F68" s="10"/>
      <c r="G68" s="118"/>
      <c r="H68" s="85"/>
      <c r="I68" s="87"/>
    </row>
    <row r="69" spans="1:9" ht="15.75" thickBot="1">
      <c r="A69" s="85"/>
      <c r="B69" s="97"/>
      <c r="C69" s="98"/>
      <c r="D69" s="99"/>
      <c r="E69" s="100"/>
      <c r="F69" s="100"/>
      <c r="G69" s="99"/>
      <c r="H69" s="99"/>
      <c r="I69" s="101"/>
    </row>
    <row r="74" spans="2:6" ht="15.75">
      <c r="B74" s="108" t="s">
        <v>138</v>
      </c>
      <c r="F74" s="155">
        <v>18</v>
      </c>
    </row>
  </sheetData>
  <sheetProtection/>
  <mergeCells count="1">
    <mergeCell ref="B6:E6"/>
  </mergeCells>
  <printOptions/>
  <pageMargins left="0.15748031496062992" right="0.15748031496062992" top="0.984251968503937" bottom="0.5905511811023623" header="0.5118110236220472" footer="0.5118110236220472"/>
  <pageSetup fitToHeight="2" horizontalDpi="600" verticalDpi="600" orientation="landscape" paperSize="9" scale="65" r:id="rId1"/>
  <headerFooter alignWithMargins="0">
    <oddHeader>&amp;R&amp;"Arial,Bold"&amp;12APPENDIX B</oddHeader>
  </headerFooter>
  <rowBreaks count="1" manualBreakCount="1">
    <brk id="41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56"/>
  <sheetViews>
    <sheetView zoomScale="75" zoomScaleNormal="75" zoomScalePageLayoutView="0" workbookViewId="0" topLeftCell="A4">
      <selection activeCell="B22" sqref="B22"/>
    </sheetView>
  </sheetViews>
  <sheetFormatPr defaultColWidth="9.140625" defaultRowHeight="12.75"/>
  <cols>
    <col min="1" max="1" width="3.8515625" style="79" customWidth="1"/>
    <col min="2" max="2" width="75.8515625" style="79" customWidth="1"/>
    <col min="3" max="3" width="1.1484375" style="107" customWidth="1"/>
    <col min="4" max="4" width="14.421875" style="79" customWidth="1"/>
    <col min="5" max="5" width="13.00390625" style="80" customWidth="1"/>
    <col min="6" max="6" width="11.7109375" style="80" customWidth="1"/>
    <col min="7" max="7" width="12.57421875" style="79" customWidth="1"/>
    <col min="8" max="8" width="0.71875" style="79" customWidth="1"/>
    <col min="9" max="9" width="107.421875" style="79" customWidth="1"/>
    <col min="10" max="10" width="62.00390625" style="0" customWidth="1"/>
    <col min="11" max="16384" width="9.140625" style="79" customWidth="1"/>
  </cols>
  <sheetData>
    <row r="1" spans="2:9" s="165" customFormat="1" ht="6" customHeight="1">
      <c r="B1" s="166"/>
      <c r="C1" s="167"/>
      <c r="D1" s="167"/>
      <c r="E1" s="168"/>
      <c r="F1" s="168"/>
      <c r="G1" s="167"/>
      <c r="H1" s="167"/>
      <c r="I1" s="169"/>
    </row>
    <row r="2" spans="2:10" ht="15.75">
      <c r="B2" s="86" t="s">
        <v>63</v>
      </c>
      <c r="C2" s="85"/>
      <c r="D2" s="122" t="s">
        <v>5</v>
      </c>
      <c r="E2" s="12"/>
      <c r="F2" s="12"/>
      <c r="G2" s="85"/>
      <c r="H2" s="85"/>
      <c r="I2" s="87"/>
      <c r="J2" s="79"/>
    </row>
    <row r="3" spans="2:10" ht="9" customHeight="1">
      <c r="B3" s="88"/>
      <c r="C3" s="85"/>
      <c r="D3" s="85"/>
      <c r="E3" s="12"/>
      <c r="F3" s="12"/>
      <c r="G3" s="85"/>
      <c r="H3" s="85"/>
      <c r="I3" s="87"/>
      <c r="J3" s="79"/>
    </row>
    <row r="4" spans="2:10" ht="15.75">
      <c r="B4" s="89" t="s">
        <v>64</v>
      </c>
      <c r="C4" s="106"/>
      <c r="D4" s="90">
        <v>32672000</v>
      </c>
      <c r="E4" s="12"/>
      <c r="F4" s="12"/>
      <c r="G4" s="85"/>
      <c r="H4" s="85"/>
      <c r="I4" s="87"/>
      <c r="J4" s="79"/>
    </row>
    <row r="5" spans="2:10" ht="25.5" customHeight="1">
      <c r="B5" s="180" t="s">
        <v>65</v>
      </c>
      <c r="C5" s="181"/>
      <c r="D5" s="181"/>
      <c r="E5" s="181"/>
      <c r="F5" s="92"/>
      <c r="G5" s="85"/>
      <c r="H5" s="85"/>
      <c r="I5" s="87"/>
      <c r="J5" s="79"/>
    </row>
    <row r="6" spans="2:11" ht="15.75">
      <c r="B6" s="88" t="s">
        <v>66</v>
      </c>
      <c r="C6" s="106"/>
      <c r="D6" s="91">
        <f>D4*E6</f>
        <v>980160</v>
      </c>
      <c r="E6" s="93">
        <v>0.03</v>
      </c>
      <c r="F6" s="12"/>
      <c r="G6" s="85"/>
      <c r="H6" s="85"/>
      <c r="I6" s="87"/>
      <c r="J6" s="94"/>
      <c r="K6" s="94"/>
    </row>
    <row r="7" spans="2:11" ht="15.75">
      <c r="B7" s="88" t="s">
        <v>67</v>
      </c>
      <c r="C7" s="106"/>
      <c r="D7" s="91">
        <f>D4*E7</f>
        <v>1992992</v>
      </c>
      <c r="E7" s="96">
        <v>0.061</v>
      </c>
      <c r="F7" s="124" t="s">
        <v>141</v>
      </c>
      <c r="G7" s="85"/>
      <c r="H7" s="85"/>
      <c r="I7" s="95"/>
      <c r="J7" s="94"/>
      <c r="K7" s="94"/>
    </row>
    <row r="8" spans="2:11" ht="15.75">
      <c r="B8" s="88" t="s">
        <v>68</v>
      </c>
      <c r="C8" s="106"/>
      <c r="D8" s="91">
        <f>D4*E8</f>
        <v>3038496</v>
      </c>
      <c r="E8" s="96">
        <v>0.093</v>
      </c>
      <c r="F8" s="12"/>
      <c r="G8" s="85"/>
      <c r="H8" s="85"/>
      <c r="I8" s="95"/>
      <c r="J8" s="94"/>
      <c r="K8" s="94"/>
    </row>
    <row r="9" spans="2:10" ht="7.5" customHeight="1" thickBot="1">
      <c r="B9" s="97"/>
      <c r="C9" s="98"/>
      <c r="D9" s="99"/>
      <c r="E9" s="100"/>
      <c r="F9" s="100"/>
      <c r="G9" s="99"/>
      <c r="H9" s="99"/>
      <c r="I9" s="101"/>
      <c r="J9" s="79"/>
    </row>
    <row r="10" spans="1:10" ht="63">
      <c r="A10" s="85"/>
      <c r="B10" s="88"/>
      <c r="C10" s="85"/>
      <c r="D10" s="102" t="s">
        <v>70</v>
      </c>
      <c r="E10" s="103" t="s">
        <v>71</v>
      </c>
      <c r="F10" s="104" t="s">
        <v>72</v>
      </c>
      <c r="G10" s="104" t="s">
        <v>73</v>
      </c>
      <c r="H10" s="85"/>
      <c r="I10" s="114" t="s">
        <v>74</v>
      </c>
      <c r="J10" s="79"/>
    </row>
    <row r="11" spans="1:10" ht="21.75" customHeight="1">
      <c r="A11" s="85"/>
      <c r="B11" s="113" t="s">
        <v>69</v>
      </c>
      <c r="C11" s="85"/>
      <c r="D11" s="170" t="s">
        <v>5</v>
      </c>
      <c r="E11" s="171" t="s">
        <v>5</v>
      </c>
      <c r="F11" s="171" t="s">
        <v>5</v>
      </c>
      <c r="G11" s="170" t="s">
        <v>5</v>
      </c>
      <c r="H11" s="85"/>
      <c r="I11" s="87"/>
      <c r="J11" s="79"/>
    </row>
    <row r="12" spans="2:10" ht="30">
      <c r="B12" s="115" t="s">
        <v>75</v>
      </c>
      <c r="C12" s="85"/>
      <c r="D12" s="91">
        <v>25000</v>
      </c>
      <c r="E12" s="105">
        <v>25000</v>
      </c>
      <c r="F12" s="105">
        <f>E12/100*25</f>
        <v>6250</v>
      </c>
      <c r="G12" s="91">
        <v>8333</v>
      </c>
      <c r="H12" s="85"/>
      <c r="I12" s="110" t="s">
        <v>76</v>
      </c>
      <c r="J12" s="79"/>
    </row>
    <row r="13" spans="2:10" ht="15">
      <c r="B13" s="115" t="s">
        <v>77</v>
      </c>
      <c r="C13" s="85"/>
      <c r="D13" s="91">
        <v>35000</v>
      </c>
      <c r="E13" s="105">
        <v>35000</v>
      </c>
      <c r="F13" s="105">
        <f>E13/100*25</f>
        <v>8750</v>
      </c>
      <c r="G13" s="91">
        <v>8750</v>
      </c>
      <c r="H13" s="85"/>
      <c r="I13" s="87" t="s">
        <v>78</v>
      </c>
      <c r="J13" s="79"/>
    </row>
    <row r="14" spans="2:10" ht="15">
      <c r="B14" s="115" t="s">
        <v>79</v>
      </c>
      <c r="C14" s="85"/>
      <c r="D14" s="91">
        <v>23000</v>
      </c>
      <c r="E14" s="105">
        <v>46000</v>
      </c>
      <c r="F14" s="105">
        <f>E14/100*25</f>
        <v>11500</v>
      </c>
      <c r="G14" s="91">
        <v>11500</v>
      </c>
      <c r="H14" s="85"/>
      <c r="I14" s="87" t="s">
        <v>80</v>
      </c>
      <c r="J14" s="79"/>
    </row>
    <row r="15" spans="2:10" ht="15">
      <c r="B15" s="115" t="s">
        <v>81</v>
      </c>
      <c r="C15" s="85"/>
      <c r="D15" s="91">
        <v>37000</v>
      </c>
      <c r="E15" s="105">
        <v>60000</v>
      </c>
      <c r="F15" s="105">
        <f>E15/100*25</f>
        <v>15000</v>
      </c>
      <c r="G15" s="91">
        <v>47900</v>
      </c>
      <c r="H15" s="85"/>
      <c r="I15" s="110" t="s">
        <v>82</v>
      </c>
      <c r="J15" s="79"/>
    </row>
    <row r="16" spans="2:10" ht="15">
      <c r="B16" s="115" t="s">
        <v>83</v>
      </c>
      <c r="C16" s="85"/>
      <c r="D16" s="91">
        <v>0</v>
      </c>
      <c r="E16" s="105">
        <v>40000</v>
      </c>
      <c r="F16" s="105">
        <f>E16/100*25</f>
        <v>10000</v>
      </c>
      <c r="G16" s="91">
        <v>0</v>
      </c>
      <c r="H16" s="85"/>
      <c r="I16" s="87" t="s">
        <v>84</v>
      </c>
      <c r="J16" s="79"/>
    </row>
    <row r="17" spans="2:10" ht="15">
      <c r="B17" s="115" t="s">
        <v>85</v>
      </c>
      <c r="C17" s="85"/>
      <c r="D17" s="91">
        <v>153000</v>
      </c>
      <c r="E17" s="105">
        <v>440000</v>
      </c>
      <c r="F17" s="105">
        <v>193600</v>
      </c>
      <c r="G17" s="91">
        <v>211000</v>
      </c>
      <c r="H17" s="85"/>
      <c r="I17" s="116" t="s">
        <v>86</v>
      </c>
      <c r="J17" s="79"/>
    </row>
    <row r="18" spans="2:10" ht="15">
      <c r="B18" s="115" t="s">
        <v>87</v>
      </c>
      <c r="C18" s="85"/>
      <c r="D18" s="91">
        <v>206000</v>
      </c>
      <c r="E18" s="105">
        <v>245000</v>
      </c>
      <c r="F18" s="105">
        <f aca="true" t="shared" si="0" ref="F18:F28">E18/100*25</f>
        <v>61250</v>
      </c>
      <c r="G18" s="91">
        <v>61250</v>
      </c>
      <c r="H18" s="85"/>
      <c r="I18" s="87" t="s">
        <v>88</v>
      </c>
      <c r="J18" s="79"/>
    </row>
    <row r="19" spans="2:10" ht="15">
      <c r="B19" s="115" t="s">
        <v>53</v>
      </c>
      <c r="C19" s="85"/>
      <c r="D19" s="91">
        <v>15000</v>
      </c>
      <c r="E19" s="105">
        <v>29000</v>
      </c>
      <c r="F19" s="105">
        <f t="shared" si="0"/>
        <v>7250</v>
      </c>
      <c r="G19" s="91">
        <v>7250</v>
      </c>
      <c r="H19" s="85"/>
      <c r="I19" s="110" t="s">
        <v>89</v>
      </c>
      <c r="J19" s="79"/>
    </row>
    <row r="20" spans="2:10" ht="15">
      <c r="B20" s="115" t="s">
        <v>90</v>
      </c>
      <c r="C20" s="85"/>
      <c r="D20" s="91">
        <v>0</v>
      </c>
      <c r="E20" s="105">
        <v>175000</v>
      </c>
      <c r="F20" s="105">
        <f t="shared" si="0"/>
        <v>43750</v>
      </c>
      <c r="G20" s="91">
        <v>0</v>
      </c>
      <c r="H20" s="85"/>
      <c r="I20" s="110" t="s">
        <v>91</v>
      </c>
      <c r="J20" s="79"/>
    </row>
    <row r="21" spans="2:10" ht="15">
      <c r="B21" s="115" t="s">
        <v>92</v>
      </c>
      <c r="C21" s="85"/>
      <c r="D21" s="91">
        <v>0</v>
      </c>
      <c r="E21" s="105">
        <v>0</v>
      </c>
      <c r="F21" s="105">
        <f t="shared" si="0"/>
        <v>0</v>
      </c>
      <c r="G21" s="91">
        <v>0</v>
      </c>
      <c r="H21" s="85"/>
      <c r="I21" s="110" t="s">
        <v>91</v>
      </c>
      <c r="J21" s="79"/>
    </row>
    <row r="22" spans="2:10" ht="15">
      <c r="B22" s="115" t="s">
        <v>93</v>
      </c>
      <c r="C22" s="85"/>
      <c r="D22" s="91">
        <v>0</v>
      </c>
      <c r="E22" s="105">
        <v>5000</v>
      </c>
      <c r="F22" s="105">
        <f t="shared" si="0"/>
        <v>1250</v>
      </c>
      <c r="G22" s="91">
        <v>0</v>
      </c>
      <c r="H22" s="85"/>
      <c r="I22" s="110" t="s">
        <v>94</v>
      </c>
      <c r="J22" s="79"/>
    </row>
    <row r="23" spans="2:10" ht="15">
      <c r="B23" s="115" t="s">
        <v>95</v>
      </c>
      <c r="C23" s="85"/>
      <c r="D23" s="91">
        <v>0</v>
      </c>
      <c r="E23" s="105">
        <v>7000</v>
      </c>
      <c r="F23" s="105">
        <f t="shared" si="0"/>
        <v>1750</v>
      </c>
      <c r="G23" s="91">
        <v>0</v>
      </c>
      <c r="H23" s="85"/>
      <c r="I23" s="87" t="s">
        <v>96</v>
      </c>
      <c r="J23" s="79"/>
    </row>
    <row r="24" spans="2:10" ht="15">
      <c r="B24" s="115" t="s">
        <v>97</v>
      </c>
      <c r="C24" s="85"/>
      <c r="D24" s="91">
        <v>0</v>
      </c>
      <c r="E24" s="105">
        <v>36000</v>
      </c>
      <c r="F24" s="105">
        <f t="shared" si="0"/>
        <v>9000</v>
      </c>
      <c r="G24" s="91">
        <v>0</v>
      </c>
      <c r="H24" s="85"/>
      <c r="I24" s="87" t="s">
        <v>98</v>
      </c>
      <c r="J24" s="79"/>
    </row>
    <row r="25" spans="2:10" ht="15">
      <c r="B25" s="115" t="s">
        <v>99</v>
      </c>
      <c r="C25" s="85"/>
      <c r="D25" s="91">
        <v>0</v>
      </c>
      <c r="E25" s="105">
        <v>3000</v>
      </c>
      <c r="F25" s="105">
        <f t="shared" si="0"/>
        <v>750</v>
      </c>
      <c r="G25" s="91">
        <v>0</v>
      </c>
      <c r="H25" s="85"/>
      <c r="I25" s="87" t="s">
        <v>100</v>
      </c>
      <c r="J25" s="79"/>
    </row>
    <row r="26" spans="2:10" ht="15">
      <c r="B26" s="115" t="s">
        <v>101</v>
      </c>
      <c r="C26" s="85"/>
      <c r="D26" s="91">
        <v>0</v>
      </c>
      <c r="E26" s="105">
        <v>163000</v>
      </c>
      <c r="F26" s="105">
        <f t="shared" si="0"/>
        <v>40750</v>
      </c>
      <c r="G26" s="91">
        <v>0</v>
      </c>
      <c r="H26" s="85"/>
      <c r="I26" s="87" t="s">
        <v>100</v>
      </c>
      <c r="J26" s="79"/>
    </row>
    <row r="27" spans="1:10" ht="15">
      <c r="A27" s="85"/>
      <c r="B27" s="88" t="s">
        <v>102</v>
      </c>
      <c r="C27" s="106"/>
      <c r="D27" s="85">
        <v>2000</v>
      </c>
      <c r="E27" s="105">
        <v>11000</v>
      </c>
      <c r="F27" s="105">
        <f t="shared" si="0"/>
        <v>2750</v>
      </c>
      <c r="G27" s="91">
        <v>2750</v>
      </c>
      <c r="H27" s="85"/>
      <c r="I27" s="87" t="s">
        <v>103</v>
      </c>
      <c r="J27" s="79"/>
    </row>
    <row r="28" spans="1:10" ht="15">
      <c r="A28" s="85"/>
      <c r="B28" s="115" t="s">
        <v>104</v>
      </c>
      <c r="C28" s="85"/>
      <c r="D28" s="91">
        <v>100000</v>
      </c>
      <c r="E28" s="105">
        <v>100000</v>
      </c>
      <c r="F28" s="105">
        <f t="shared" si="0"/>
        <v>25000</v>
      </c>
      <c r="G28" s="91">
        <v>25000</v>
      </c>
      <c r="H28" s="85"/>
      <c r="I28" s="110" t="s">
        <v>105</v>
      </c>
      <c r="J28" s="79"/>
    </row>
    <row r="29" spans="1:10" ht="15">
      <c r="A29" s="85"/>
      <c r="B29" s="115" t="s">
        <v>106</v>
      </c>
      <c r="C29" s="85"/>
      <c r="D29" s="91">
        <v>499000</v>
      </c>
      <c r="E29" s="105">
        <v>537100</v>
      </c>
      <c r="F29" s="105">
        <v>134437</v>
      </c>
      <c r="G29" s="91">
        <v>145400</v>
      </c>
      <c r="H29" s="85"/>
      <c r="I29" s="87" t="s">
        <v>107</v>
      </c>
      <c r="J29" s="79"/>
    </row>
    <row r="30" spans="1:10" ht="15">
      <c r="A30" s="85"/>
      <c r="B30" s="115" t="s">
        <v>108</v>
      </c>
      <c r="C30" s="85"/>
      <c r="D30" s="91">
        <v>0</v>
      </c>
      <c r="E30" s="105">
        <v>0</v>
      </c>
      <c r="F30" s="105">
        <v>0</v>
      </c>
      <c r="G30" s="91">
        <v>0</v>
      </c>
      <c r="H30" s="85"/>
      <c r="I30" s="87"/>
      <c r="J30" s="79"/>
    </row>
    <row r="31" spans="1:10" ht="6" customHeight="1">
      <c r="A31" s="85"/>
      <c r="B31" s="115"/>
      <c r="C31" s="85"/>
      <c r="D31" s="91"/>
      <c r="E31" s="12"/>
      <c r="F31" s="105"/>
      <c r="G31" s="85"/>
      <c r="H31" s="85"/>
      <c r="I31" s="87"/>
      <c r="J31" s="79"/>
    </row>
    <row r="32" spans="1:10" ht="23.25" customHeight="1">
      <c r="A32" s="85"/>
      <c r="B32" s="111" t="s">
        <v>109</v>
      </c>
      <c r="C32" s="85"/>
      <c r="D32" s="117">
        <f>SUM(D12:D29)</f>
        <v>1095000</v>
      </c>
      <c r="E32" s="125">
        <f>SUM(E12:E29)</f>
        <v>1957100</v>
      </c>
      <c r="F32" s="125">
        <f>SUM(F12:F29)</f>
        <v>573037</v>
      </c>
      <c r="G32" s="125">
        <f>SUM(G12:G29)</f>
        <v>529133</v>
      </c>
      <c r="H32" s="85"/>
      <c r="I32" s="110"/>
      <c r="J32" s="79"/>
    </row>
    <row r="33" spans="1:10" ht="21.75" customHeight="1">
      <c r="A33" s="85"/>
      <c r="B33" s="109" t="s">
        <v>110</v>
      </c>
      <c r="C33" s="85"/>
      <c r="D33" s="118"/>
      <c r="E33" s="10"/>
      <c r="F33" s="10"/>
      <c r="G33" s="118"/>
      <c r="H33" s="118"/>
      <c r="I33" s="87"/>
      <c r="J33" s="79"/>
    </row>
    <row r="34" spans="1:10" ht="15">
      <c r="A34" s="85"/>
      <c r="B34" s="88" t="s">
        <v>111</v>
      </c>
      <c r="C34" s="85"/>
      <c r="D34" s="118">
        <v>0</v>
      </c>
      <c r="E34" s="10">
        <v>0</v>
      </c>
      <c r="F34" s="10">
        <f>E34/100*33.333</f>
        <v>0</v>
      </c>
      <c r="G34" s="118">
        <v>0</v>
      </c>
      <c r="H34" s="118"/>
      <c r="I34" s="110" t="s">
        <v>112</v>
      </c>
      <c r="J34" s="79"/>
    </row>
    <row r="35" spans="1:10" ht="15">
      <c r="A35" s="85"/>
      <c r="B35" s="88" t="s">
        <v>113</v>
      </c>
      <c r="C35" s="85"/>
      <c r="D35" s="118">
        <v>0</v>
      </c>
      <c r="E35" s="10">
        <v>0</v>
      </c>
      <c r="F35" s="10">
        <f>E35/100*33.333</f>
        <v>0</v>
      </c>
      <c r="G35" s="118">
        <v>0</v>
      </c>
      <c r="H35" s="118"/>
      <c r="I35" s="87" t="s">
        <v>114</v>
      </c>
      <c r="J35" s="79"/>
    </row>
    <row r="36" spans="1:10" ht="15">
      <c r="A36" s="85"/>
      <c r="B36" s="88" t="s">
        <v>115</v>
      </c>
      <c r="C36" s="85"/>
      <c r="D36" s="118">
        <v>0</v>
      </c>
      <c r="E36" s="10">
        <v>0</v>
      </c>
      <c r="F36" s="10">
        <f>E36/100*33.333</f>
        <v>0</v>
      </c>
      <c r="G36" s="118">
        <v>0</v>
      </c>
      <c r="H36" s="118"/>
      <c r="I36" s="87" t="s">
        <v>116</v>
      </c>
      <c r="J36" s="79"/>
    </row>
    <row r="37" spans="1:10" ht="15">
      <c r="A37" s="85"/>
      <c r="B37" s="88" t="s">
        <v>117</v>
      </c>
      <c r="C37" s="85"/>
      <c r="D37" s="118">
        <v>25000</v>
      </c>
      <c r="E37" s="10">
        <v>35000</v>
      </c>
      <c r="F37" s="10">
        <f aca="true" t="shared" si="1" ref="F37:F45">E37/100*25</f>
        <v>8750</v>
      </c>
      <c r="G37" s="118">
        <v>8750</v>
      </c>
      <c r="H37" s="118"/>
      <c r="I37" s="87" t="s">
        <v>118</v>
      </c>
      <c r="J37" s="79"/>
    </row>
    <row r="38" spans="1:10" ht="15">
      <c r="A38" s="85"/>
      <c r="B38" s="88" t="s">
        <v>119</v>
      </c>
      <c r="C38" s="85"/>
      <c r="D38" s="118">
        <v>0</v>
      </c>
      <c r="E38" s="10">
        <v>20000</v>
      </c>
      <c r="F38" s="10">
        <f t="shared" si="1"/>
        <v>5000</v>
      </c>
      <c r="G38" s="118">
        <v>0</v>
      </c>
      <c r="H38" s="118"/>
      <c r="I38" s="87" t="s">
        <v>120</v>
      </c>
      <c r="J38" s="79"/>
    </row>
    <row r="39" spans="1:10" ht="15">
      <c r="A39" s="85"/>
      <c r="B39" s="88" t="s">
        <v>121</v>
      </c>
      <c r="C39" s="85"/>
      <c r="D39" s="118">
        <v>0</v>
      </c>
      <c r="E39" s="10">
        <v>107000</v>
      </c>
      <c r="F39" s="10">
        <f t="shared" si="1"/>
        <v>26750</v>
      </c>
      <c r="G39" s="118">
        <v>0</v>
      </c>
      <c r="H39" s="118"/>
      <c r="I39" s="87" t="s">
        <v>122</v>
      </c>
      <c r="J39" s="79"/>
    </row>
    <row r="40" spans="1:10" ht="15">
      <c r="A40" s="85"/>
      <c r="B40" s="88" t="s">
        <v>123</v>
      </c>
      <c r="C40" s="85"/>
      <c r="D40" s="118">
        <v>0</v>
      </c>
      <c r="E40" s="10">
        <v>0</v>
      </c>
      <c r="F40" s="10">
        <f t="shared" si="1"/>
        <v>0</v>
      </c>
      <c r="G40" s="118">
        <v>0</v>
      </c>
      <c r="H40" s="118"/>
      <c r="I40" s="87" t="s">
        <v>124</v>
      </c>
      <c r="J40" s="79"/>
    </row>
    <row r="41" spans="1:10" ht="15">
      <c r="A41" s="85"/>
      <c r="B41" s="88" t="s">
        <v>125</v>
      </c>
      <c r="C41" s="85"/>
      <c r="D41" s="118">
        <v>0</v>
      </c>
      <c r="E41" s="10">
        <v>0</v>
      </c>
      <c r="F41" s="10">
        <f t="shared" si="1"/>
        <v>0</v>
      </c>
      <c r="G41" s="118">
        <v>0</v>
      </c>
      <c r="H41" s="118"/>
      <c r="I41" s="87" t="s">
        <v>126</v>
      </c>
      <c r="J41" s="79"/>
    </row>
    <row r="42" spans="1:10" ht="15">
      <c r="A42" s="85"/>
      <c r="B42" s="88" t="s">
        <v>127</v>
      </c>
      <c r="C42" s="85"/>
      <c r="D42" s="118">
        <v>0</v>
      </c>
      <c r="E42" s="10">
        <v>0</v>
      </c>
      <c r="F42" s="10">
        <f t="shared" si="1"/>
        <v>0</v>
      </c>
      <c r="G42" s="118">
        <v>0</v>
      </c>
      <c r="H42" s="118"/>
      <c r="I42" s="87" t="s">
        <v>126</v>
      </c>
      <c r="J42" s="79"/>
    </row>
    <row r="43" spans="1:10" ht="15">
      <c r="A43" s="85"/>
      <c r="B43" s="88" t="s">
        <v>128</v>
      </c>
      <c r="C43" s="106"/>
      <c r="D43" s="118">
        <v>0</v>
      </c>
      <c r="E43" s="10">
        <v>0</v>
      </c>
      <c r="F43" s="10">
        <f t="shared" si="1"/>
        <v>0</v>
      </c>
      <c r="G43" s="118">
        <v>0</v>
      </c>
      <c r="H43" s="118"/>
      <c r="I43" s="87" t="s">
        <v>129</v>
      </c>
      <c r="J43" s="79"/>
    </row>
    <row r="44" spans="1:10" ht="15">
      <c r="A44" s="85"/>
      <c r="B44" s="88" t="s">
        <v>130</v>
      </c>
      <c r="C44" s="85"/>
      <c r="D44" s="118">
        <v>0</v>
      </c>
      <c r="E44" s="10">
        <v>0</v>
      </c>
      <c r="F44" s="10">
        <f t="shared" si="1"/>
        <v>0</v>
      </c>
      <c r="G44" s="118">
        <v>0</v>
      </c>
      <c r="H44" s="118"/>
      <c r="I44" s="87" t="s">
        <v>124</v>
      </c>
      <c r="J44" s="79"/>
    </row>
    <row r="45" spans="1:10" ht="15">
      <c r="A45" s="85"/>
      <c r="B45" s="88" t="s">
        <v>139</v>
      </c>
      <c r="C45" s="85"/>
      <c r="D45" s="118">
        <v>0</v>
      </c>
      <c r="E45" s="10">
        <v>107000</v>
      </c>
      <c r="F45" s="10">
        <f t="shared" si="1"/>
        <v>26750</v>
      </c>
      <c r="G45" s="118">
        <v>26750</v>
      </c>
      <c r="H45" s="118"/>
      <c r="I45" s="87" t="s">
        <v>140</v>
      </c>
      <c r="J45" s="79"/>
    </row>
    <row r="46" spans="1:10" ht="6" customHeight="1">
      <c r="A46" s="85"/>
      <c r="B46" s="88"/>
      <c r="C46" s="85"/>
      <c r="D46" s="118"/>
      <c r="E46" s="10"/>
      <c r="F46" s="10"/>
      <c r="G46" s="118"/>
      <c r="H46" s="118"/>
      <c r="I46" s="87"/>
      <c r="J46" s="79"/>
    </row>
    <row r="47" spans="1:10" ht="15.75" customHeight="1">
      <c r="A47" s="85"/>
      <c r="B47" s="111" t="s">
        <v>131</v>
      </c>
      <c r="C47" s="85"/>
      <c r="D47" s="119">
        <f>SUM(D34:D45)</f>
        <v>25000</v>
      </c>
      <c r="E47" s="119">
        <f>SUM(E34:E45)</f>
        <v>269000</v>
      </c>
      <c r="F47" s="119">
        <f>SUM(F34:F45)</f>
        <v>67250</v>
      </c>
      <c r="G47" s="119">
        <f>SUM(G34:G45)</f>
        <v>35500</v>
      </c>
      <c r="H47" s="118"/>
      <c r="I47" s="87"/>
      <c r="J47" s="79"/>
    </row>
    <row r="48" spans="1:10" ht="22.5" customHeight="1">
      <c r="A48" s="85"/>
      <c r="B48" s="112" t="s">
        <v>132</v>
      </c>
      <c r="C48" s="85"/>
      <c r="D48" s="118"/>
      <c r="E48" s="10"/>
      <c r="F48" s="10"/>
      <c r="G48" s="118"/>
      <c r="H48" s="85"/>
      <c r="I48" s="87"/>
      <c r="J48" s="79"/>
    </row>
    <row r="49" spans="1:10" ht="15">
      <c r="A49" s="85"/>
      <c r="B49" s="88"/>
      <c r="C49" s="85"/>
      <c r="D49" s="118"/>
      <c r="E49" s="10"/>
      <c r="F49" s="10"/>
      <c r="G49" s="118"/>
      <c r="H49" s="85"/>
      <c r="I49" s="87"/>
      <c r="J49" s="79"/>
    </row>
    <row r="50" spans="1:10" ht="15">
      <c r="A50" s="85"/>
      <c r="B50" s="88" t="s">
        <v>133</v>
      </c>
      <c r="C50" s="106"/>
      <c r="D50" s="118">
        <v>46000</v>
      </c>
      <c r="E50" s="10">
        <v>0</v>
      </c>
      <c r="F50" s="10">
        <f>E50/100*25</f>
        <v>0</v>
      </c>
      <c r="G50" s="118">
        <v>0</v>
      </c>
      <c r="H50" s="85"/>
      <c r="I50" s="87" t="s">
        <v>134</v>
      </c>
      <c r="J50" s="79"/>
    </row>
    <row r="51" spans="1:10" ht="15">
      <c r="A51" s="85"/>
      <c r="B51" s="88" t="s">
        <v>135</v>
      </c>
      <c r="C51" s="106"/>
      <c r="D51" s="118">
        <v>0</v>
      </c>
      <c r="E51" s="10">
        <v>100000</v>
      </c>
      <c r="F51" s="10">
        <f>E51/100*25</f>
        <v>25000</v>
      </c>
      <c r="G51" s="118">
        <v>0</v>
      </c>
      <c r="H51" s="85"/>
      <c r="I51" s="87" t="s">
        <v>134</v>
      </c>
      <c r="J51" s="79"/>
    </row>
    <row r="52" spans="1:10" ht="4.5" customHeight="1">
      <c r="A52" s="85"/>
      <c r="B52" s="88"/>
      <c r="C52" s="106"/>
      <c r="D52" s="118"/>
      <c r="E52" s="10"/>
      <c r="F52" s="10"/>
      <c r="G52" s="118"/>
      <c r="H52" s="85"/>
      <c r="I52" s="87"/>
      <c r="J52" s="79"/>
    </row>
    <row r="53" spans="1:10" ht="15.75">
      <c r="A53" s="85"/>
      <c r="B53" s="111" t="s">
        <v>136</v>
      </c>
      <c r="C53" s="106"/>
      <c r="D53" s="119">
        <f>SUM(D50:D51)</f>
        <v>46000</v>
      </c>
      <c r="E53" s="120">
        <f>SUM(E50:E51)</f>
        <v>100000</v>
      </c>
      <c r="F53" s="120">
        <f>SUM(F50:F51)</f>
        <v>25000</v>
      </c>
      <c r="G53" s="120">
        <f>SUM(G50:G51)</f>
        <v>0</v>
      </c>
      <c r="H53" s="85"/>
      <c r="I53" s="87"/>
      <c r="J53" s="79"/>
    </row>
    <row r="54" spans="1:10" ht="7.5" customHeight="1">
      <c r="A54" s="85"/>
      <c r="B54" s="89"/>
      <c r="C54" s="106"/>
      <c r="D54" s="118"/>
      <c r="E54" s="10"/>
      <c r="F54" s="10"/>
      <c r="G54" s="118"/>
      <c r="H54" s="85"/>
      <c r="I54" s="87"/>
      <c r="J54" s="79"/>
    </row>
    <row r="55" spans="1:10" ht="25.5" customHeight="1" thickBot="1">
      <c r="A55" s="85"/>
      <c r="B55" s="112" t="s">
        <v>137</v>
      </c>
      <c r="C55" s="106"/>
      <c r="D55" s="121">
        <f>D32+D47+D53</f>
        <v>1166000</v>
      </c>
      <c r="E55" s="121">
        <f>E32+E47+E53</f>
        <v>2326100</v>
      </c>
      <c r="F55" s="121">
        <f>F32+F47+F53</f>
        <v>665287</v>
      </c>
      <c r="G55" s="121">
        <f>G32+G47+G53</f>
        <v>564633</v>
      </c>
      <c r="H55" s="85"/>
      <c r="I55" s="87"/>
      <c r="J55" s="79"/>
    </row>
    <row r="56" spans="1:9" s="158" customFormat="1" ht="4.5" customHeight="1" thickBot="1">
      <c r="A56" s="159"/>
      <c r="B56" s="160"/>
      <c r="C56" s="161"/>
      <c r="D56" s="162"/>
      <c r="E56" s="163"/>
      <c r="F56" s="163"/>
      <c r="G56" s="162"/>
      <c r="H56" s="162"/>
      <c r="I56" s="164"/>
    </row>
  </sheetData>
  <sheetProtection/>
  <mergeCells count="1">
    <mergeCell ref="B5:E5"/>
  </mergeCells>
  <printOptions/>
  <pageMargins left="0.15748031496062992" right="0.15748031496062992" top="0.5118110236220472" bottom="0.5118110236220472" header="0.31496062992125984" footer="0.31496062992125984"/>
  <pageSetup horizontalDpi="600" verticalDpi="600" orientation="landscape" paperSize="9" scale="60" r:id="rId1"/>
  <headerFooter alignWithMargins="0">
    <oddHeader>&amp;R&amp;"Arial,Bold"&amp;12APPENDIX B</oddHeader>
    <oddFooter>&amp;LK:\Gershon/2008-09 CSR07&amp;C&amp;"Arial,Bold"&amp;12&amp;A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Carlisle City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JackieGr</dc:creator>
  <cp:keywords/>
  <dc:description/>
  <cp:lastModifiedBy>MoragD</cp:lastModifiedBy>
  <cp:lastPrinted>2009-07-17T13:16:29Z</cp:lastPrinted>
  <dcterms:created xsi:type="dcterms:W3CDTF">2004-06-24T11:16:49Z</dcterms:created>
  <dcterms:modified xsi:type="dcterms:W3CDTF">2009-07-17T13:19:39Z</dcterms:modified>
  <cp:category/>
  <cp:version/>
  <cp:contentType/>
  <cp:contentStatus/>
</cp:coreProperties>
</file>